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sorhf.sharepoint.com/sites/VVHF-X-Teamkontinuerligforbedring/Shared Documents/Opplæringsprogrammer og aktivteter/NY Tilpasset opplæring/Mini Læringsnettverk Nasjonale kvalitetsregistre - NorArtritt og NorVas 2025/Webinar 3/"/>
    </mc:Choice>
  </mc:AlternateContent>
  <xr:revisionPtr revIDLastSave="0" documentId="8_{9C658B97-D89F-4F35-8FC8-49297C43A67D}" xr6:coauthVersionLast="47" xr6:coauthVersionMax="47" xr10:uidLastSave="{00000000-0000-0000-0000-000000000000}"/>
  <bookViews>
    <workbookView xWindow="-110" yWindow="-110" windowWidth="19420" windowHeight="10300" tabRatio="496" xr2:uid="{00000000-000D-0000-FFFF-FFFF00000000}"/>
  </bookViews>
  <sheets>
    <sheet name="SPC" sheetId="5" r:id="rId1"/>
    <sheet name="Skåring" sheetId="8" r:id="rId2"/>
    <sheet name="Pareto" sheetId="9" r:id="rId3"/>
    <sheet name="Pareto-negativ" sheetId="10" r:id="rId4"/>
    <sheet name="Info" sheetId="7" r:id="rId5"/>
  </sheets>
  <definedNames>
    <definedName name="_xlchart.v1.0" hidden="1">Pareto!$A$4:$A$10</definedName>
    <definedName name="_xlchart.v1.1" hidden="1">Pareto!$B$3</definedName>
    <definedName name="_xlchart.v1.2" hidden="1">Pareto!$B$4:$B$10</definedName>
    <definedName name="_xlchart.v1.3" hidden="1">'Pareto-negativ'!$A$4:$A$10</definedName>
    <definedName name="_xlchart.v1.4" hidden="1">'Pareto-negativ'!$B$3</definedName>
    <definedName name="_xlchart.v1.5" hidden="1">'Pareto-negativ'!$B$4:$B$10</definedName>
    <definedName name="_xlnm.Print_Area" localSheetId="0">SPC!$A:$CF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BV12" i="5" l="1"/>
  <c r="BN15" i="5" l="1"/>
  <c r="BQ15" i="5"/>
  <c r="BO15" i="5"/>
  <c r="AZ15" i="5" l="1"/>
  <c r="BP15" i="5"/>
  <c r="M15" i="5"/>
  <c r="AW15" i="5" l="1"/>
  <c r="BH15" i="5" l="1"/>
  <c r="BI15" i="5"/>
  <c r="B10" i="10"/>
  <c r="B9" i="10"/>
  <c r="B8" i="10"/>
  <c r="B7" i="10"/>
  <c r="B6" i="10"/>
  <c r="B5" i="10"/>
  <c r="B4" i="10"/>
  <c r="A10" i="10"/>
  <c r="A9" i="10"/>
  <c r="A8" i="10"/>
  <c r="A7" i="10"/>
  <c r="A6" i="10"/>
  <c r="A5" i="10"/>
  <c r="A4" i="10"/>
  <c r="B10" i="9"/>
  <c r="B9" i="9"/>
  <c r="B8" i="9"/>
  <c r="B7" i="9"/>
  <c r="B6" i="9"/>
  <c r="B5" i="9"/>
  <c r="B4" i="9"/>
  <c r="A10" i="9"/>
  <c r="A9" i="9"/>
  <c r="A8" i="9"/>
  <c r="A7" i="9"/>
  <c r="A6" i="9"/>
  <c r="A5" i="9"/>
  <c r="A4" i="9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K21" i="8" s="1"/>
  <c r="J20" i="8"/>
  <c r="J19" i="8"/>
  <c r="K12" i="8"/>
  <c r="K35" i="8" s="1"/>
  <c r="J15" i="8"/>
  <c r="J16" i="8"/>
  <c r="J17" i="8"/>
  <c r="J18" i="8"/>
  <c r="K18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K25" i="8" l="1"/>
  <c r="K29" i="8"/>
  <c r="K33" i="8"/>
  <c r="K22" i="8"/>
  <c r="K26" i="8"/>
  <c r="K30" i="8"/>
  <c r="K17" i="8"/>
  <c r="K19" i="8"/>
  <c r="K23" i="8"/>
  <c r="K27" i="8"/>
  <c r="K31" i="8"/>
  <c r="K34" i="8"/>
  <c r="K16" i="8"/>
  <c r="K20" i="8"/>
  <c r="K24" i="8"/>
  <c r="K28" i="8"/>
  <c r="K32" i="8"/>
  <c r="K15" i="8"/>
  <c r="CA12" i="5" l="1"/>
  <c r="CD3" i="5" l="1"/>
  <c r="CD7" i="5" l="1"/>
  <c r="CD8" i="5"/>
  <c r="CD6" i="5"/>
  <c r="CE5" i="5" s="1"/>
  <c r="CD5" i="5"/>
  <c r="CD10" i="5"/>
  <c r="CD11" i="5"/>
  <c r="CD9" i="5"/>
  <c r="CD12" i="5"/>
  <c r="CD4" i="5"/>
  <c r="CE4" i="5" l="1"/>
  <c r="CE3" i="5"/>
  <c r="CE11" i="5"/>
  <c r="BV11" i="5"/>
  <c r="BX10" i="5" s="1"/>
  <c r="CE10" i="5"/>
  <c r="BV10" i="5"/>
  <c r="CE8" i="5"/>
  <c r="CE9" i="5"/>
  <c r="CE6" i="5"/>
  <c r="CE7" i="5"/>
  <c r="A15" i="5"/>
  <c r="H15" i="5"/>
  <c r="BV3" i="5"/>
  <c r="BY3" i="5"/>
  <c r="BZ3" i="5"/>
  <c r="BY10" i="5"/>
  <c r="BY12" i="5" l="1"/>
  <c r="BZ10" i="5"/>
  <c r="BW12" i="5" l="1"/>
  <c r="BZ12" i="5" l="1"/>
  <c r="CC9" i="5"/>
  <c r="CC11" i="5"/>
  <c r="CC7" i="5"/>
  <c r="BZ11" i="5"/>
  <c r="CC8" i="5"/>
  <c r="CC10" i="5"/>
  <c r="AY15" i="5" l="1"/>
  <c r="BV4" i="5"/>
  <c r="BY4" i="5"/>
  <c r="BZ4" i="5"/>
  <c r="BX9" i="5" l="1"/>
  <c r="BU10" i="5"/>
  <c r="CC3" i="5"/>
  <c r="CC4" i="5"/>
  <c r="CC5" i="5"/>
  <c r="CC6" i="5"/>
  <c r="CN4" i="5" l="1"/>
  <c r="BX3" i="5"/>
  <c r="CA3" i="5"/>
  <c r="CB3" i="5"/>
  <c r="CM3" i="5" l="1"/>
  <c r="CB4" i="5"/>
  <c r="CA4" i="5"/>
  <c r="CA10" i="5"/>
  <c r="CM4" i="5" l="1"/>
  <c r="BW10" i="5"/>
  <c r="BV5" i="5"/>
  <c r="BY5" i="5"/>
  <c r="BZ5" i="5"/>
  <c r="CB5" i="5" l="1"/>
  <c r="CA5" i="5"/>
  <c r="BX4" i="5"/>
  <c r="CN5" i="5"/>
  <c r="CB10" i="5"/>
  <c r="CM5" i="5" l="1"/>
  <c r="CN3" i="5" l="1"/>
  <c r="BA15" i="5" l="1"/>
  <c r="BB15" i="5" l="1"/>
  <c r="BD15" i="5" s="1"/>
  <c r="BC15" i="5" l="1"/>
  <c r="BF15" i="5"/>
  <c r="BE15" i="5" l="1"/>
  <c r="BV6" i="5"/>
  <c r="BG15" i="5"/>
  <c r="BZ6" i="5"/>
  <c r="BY6" i="5"/>
  <c r="CA6" i="5" l="1"/>
  <c r="CB6" i="5"/>
  <c r="BX5" i="5"/>
  <c r="CN6" i="5"/>
  <c r="CM6" i="5"/>
  <c r="BV7" i="5"/>
  <c r="BZ7" i="5"/>
  <c r="BY7" i="5"/>
  <c r="CA7" i="5" l="1"/>
  <c r="CB7" i="5"/>
  <c r="BX6" i="5"/>
  <c r="CN7" i="5"/>
  <c r="CM7" i="5"/>
  <c r="BV8" i="5"/>
  <c r="BZ8" i="5"/>
  <c r="BY8" i="5"/>
  <c r="CB8" i="5" l="1"/>
  <c r="CA8" i="5"/>
  <c r="CN8" i="5"/>
  <c r="BX7" i="5"/>
  <c r="CM8" i="5"/>
  <c r="BV9" i="5"/>
  <c r="BZ9" i="5"/>
  <c r="BY9" i="5"/>
  <c r="AX15" i="5" l="1"/>
  <c r="CB9" i="5"/>
  <c r="CA9" i="5"/>
  <c r="AN15" i="5"/>
  <c r="Z15" i="5"/>
  <c r="S15" i="5"/>
  <c r="Y15" i="5"/>
  <c r="AF15" i="5"/>
  <c r="O15" i="5"/>
  <c r="T15" i="5"/>
  <c r="AK15" i="5"/>
  <c r="AB15" i="5"/>
  <c r="U15" i="5"/>
  <c r="P15" i="5"/>
  <c r="AH15" i="5"/>
  <c r="AM15" i="5"/>
  <c r="AI15" i="5"/>
  <c r="V15" i="5"/>
  <c r="X15" i="5"/>
  <c r="AC15" i="5"/>
  <c r="AS15" i="5"/>
  <c r="AR15" i="5"/>
  <c r="AU15" i="5"/>
  <c r="AA15" i="5"/>
  <c r="AL15" i="5"/>
  <c r="Q15" i="5"/>
  <c r="W15" i="5"/>
  <c r="AJ15" i="5"/>
  <c r="AV15" i="5"/>
  <c r="AE15" i="5"/>
  <c r="J15" i="5"/>
  <c r="R15" i="5"/>
  <c r="K15" i="5"/>
  <c r="AT15" i="5"/>
  <c r="AG15" i="5"/>
  <c r="AP15" i="5"/>
  <c r="L15" i="5"/>
  <c r="AQ15" i="5"/>
  <c r="AD15" i="5"/>
  <c r="AO15" i="5"/>
  <c r="N15" i="5"/>
  <c r="CN9" i="5"/>
  <c r="CN12" i="5" s="1"/>
  <c r="CN13" i="5" s="1"/>
  <c r="BX8" i="5"/>
  <c r="CM9" i="5"/>
  <c r="CM12" i="5" s="1"/>
  <c r="CM13" i="5" s="1"/>
  <c r="BM15" i="5" l="1"/>
  <c r="BK15" i="5"/>
  <c r="BJ15" i="5"/>
  <c r="BL15" i="5" l="1"/>
</calcChain>
</file>

<file path=xl/sharedStrings.xml><?xml version="1.0" encoding="utf-8"?>
<sst xmlns="http://schemas.openxmlformats.org/spreadsheetml/2006/main" count="143" uniqueCount="123">
  <si>
    <t>Periode</t>
  </si>
  <si>
    <t>Første punkt i perioden</t>
  </si>
  <si>
    <t>PeriodeNr</t>
  </si>
  <si>
    <t>NestePunkt</t>
  </si>
  <si>
    <t>Gjennomsnitt</t>
  </si>
  <si>
    <t>Median</t>
  </si>
  <si>
    <t>UCL</t>
  </si>
  <si>
    <t>LCL</t>
  </si>
  <si>
    <t>Snitt mR</t>
  </si>
  <si>
    <t>Rad</t>
  </si>
  <si>
    <t>Korrigering</t>
  </si>
  <si>
    <t>Punkter i trend:</t>
  </si>
  <si>
    <t>Første</t>
  </si>
  <si>
    <t>Inkluder første punkt i trend (1=ja)</t>
  </si>
  <si>
    <t>Overskrift</t>
  </si>
  <si>
    <t>Desimaler:</t>
  </si>
  <si>
    <t>Andre</t>
  </si>
  <si>
    <t>Diagramtype 1:</t>
  </si>
  <si>
    <t>I-diagram</t>
  </si>
  <si>
    <t>Tredje</t>
  </si>
  <si>
    <t>Mål:</t>
  </si>
  <si>
    <t>Diagramtype 2:</t>
  </si>
  <si>
    <t>Run-diagram</t>
  </si>
  <si>
    <t>Fjerde</t>
  </si>
  <si>
    <t>X-aksetittel</t>
  </si>
  <si>
    <t>Femte</t>
  </si>
  <si>
    <t>Y-aksetittel</t>
  </si>
  <si>
    <t>Sjette</t>
  </si>
  <si>
    <t>Vis tester (ja/nei)</t>
  </si>
  <si>
    <t>ja</t>
  </si>
  <si>
    <t>Sjuende</t>
  </si>
  <si>
    <t>Sluttverdi</t>
  </si>
  <si>
    <t>Antall brudd:</t>
  </si>
  <si>
    <t>Tekst:</t>
  </si>
  <si>
    <t>X-aksetittel:</t>
  </si>
  <si>
    <t>Nr</t>
  </si>
  <si>
    <t>Dato</t>
  </si>
  <si>
    <t>Verdi</t>
  </si>
  <si>
    <t>Brudd</t>
  </si>
  <si>
    <t>Kommentar1</t>
  </si>
  <si>
    <t>Kommentar2</t>
  </si>
  <si>
    <t>Kommentar3</t>
  </si>
  <si>
    <t>Mål</t>
  </si>
  <si>
    <t xml:space="preserve">BruddKode </t>
  </si>
  <si>
    <t>Snitt</t>
  </si>
  <si>
    <t>mR</t>
  </si>
  <si>
    <t>Snitt1</t>
  </si>
  <si>
    <t>Snitt2</t>
  </si>
  <si>
    <t>Snitt3</t>
  </si>
  <si>
    <t>Snitt4</t>
  </si>
  <si>
    <t>Snitt5</t>
  </si>
  <si>
    <t>Snitt6</t>
  </si>
  <si>
    <t>Snitt7</t>
  </si>
  <si>
    <t>UCL1</t>
  </si>
  <si>
    <t>UCL2</t>
  </si>
  <si>
    <t>UCL3</t>
  </si>
  <si>
    <t>UCL4</t>
  </si>
  <si>
    <t>UCL5</t>
  </si>
  <si>
    <t>UCL6</t>
  </si>
  <si>
    <t>UCL7</t>
  </si>
  <si>
    <t>LCL1</t>
  </si>
  <si>
    <t>LCL2</t>
  </si>
  <si>
    <t>LCL3</t>
  </si>
  <si>
    <t>LCL4</t>
  </si>
  <si>
    <t>LCL5</t>
  </si>
  <si>
    <t>LCL6</t>
  </si>
  <si>
    <t>LCL7</t>
  </si>
  <si>
    <t>Median1</t>
  </si>
  <si>
    <t>Median2</t>
  </si>
  <si>
    <t>Median3</t>
  </si>
  <si>
    <t>Median4</t>
  </si>
  <si>
    <t>Median5</t>
  </si>
  <si>
    <t>Median6</t>
  </si>
  <si>
    <t>Median7</t>
  </si>
  <si>
    <t>Verdi1</t>
  </si>
  <si>
    <t>Verdi2</t>
  </si>
  <si>
    <t>Verdi3</t>
  </si>
  <si>
    <t>Verdi4</t>
  </si>
  <si>
    <t>Verdi5</t>
  </si>
  <si>
    <t>Verdi6</t>
  </si>
  <si>
    <t>Verdi7</t>
  </si>
  <si>
    <t>ser_indeks</t>
  </si>
  <si>
    <t>serie_nr</t>
  </si>
  <si>
    <t>til_brudd_rader</t>
  </si>
  <si>
    <t>verdi_korrigert</t>
  </si>
  <si>
    <t>rang</t>
  </si>
  <si>
    <t>rang_samme</t>
  </si>
  <si>
    <t>rang_stig</t>
  </si>
  <si>
    <t>rang_synk</t>
  </si>
  <si>
    <t>rang_stigsynk</t>
  </si>
  <si>
    <t>trend_omr</t>
  </si>
  <si>
    <t>Test 3: trend</t>
  </si>
  <si>
    <t>skifte_lav1</t>
  </si>
  <si>
    <t>skifte_høy1</t>
  </si>
  <si>
    <t>skifte_lav2</t>
  </si>
  <si>
    <t>skifte_høy2</t>
  </si>
  <si>
    <t>Test 2: skifte</t>
  </si>
  <si>
    <t>Test1: punkt utenfor kontrollgrense</t>
  </si>
  <si>
    <t>Verdi_korrigert_blank</t>
  </si>
  <si>
    <t>Verdi_korrigert_IT</t>
  </si>
  <si>
    <t>ForrigeGyldige</t>
  </si>
  <si>
    <t>EkslGraf</t>
  </si>
  <si>
    <t>VisKommentar</t>
  </si>
  <si>
    <t>Kommentar4</t>
  </si>
  <si>
    <t>Kontrolldiagram (i-diagram). Viser øvre (UCL) og nedre (LCL) kontrollgrense og gjennomsnitt.</t>
  </si>
  <si>
    <t>Vekting</t>
  </si>
  <si>
    <t>Maksimalskår:</t>
  </si>
  <si>
    <t>Totalskår</t>
  </si>
  <si>
    <t>Totalskår prosent</t>
  </si>
  <si>
    <t>Kommentar</t>
  </si>
  <si>
    <t>Kategori</t>
  </si>
  <si>
    <t>Sum</t>
  </si>
  <si>
    <t>Endringer i malen</t>
  </si>
  <si>
    <t>Feilretting: Fjernet data som lå utenfor tabellen, som hindret tabellen i å utivde seg automatisk</t>
  </si>
  <si>
    <t>Utvidet: Nå er det mulig å ha inntil 7 brudd</t>
  </si>
  <si>
    <t>Lagt inn statistiske tester. Flyttet beregningstabellen opp over datatabellen, slik at rader fra datatabellen kan slettes uten at funksjonaliteten brytes. Tilpasset tabell og diagram for utskrift.</t>
  </si>
  <si>
    <t>Test for trend er justert til samme regler som i EpiData. 6 punkter kreves for trend, inkluderer første punkt. Dette kan endres i celle CC2 (antall punkter krevet) og CC3 (inkludere første punkt - 1 for ja)</t>
  </si>
  <si>
    <t>Lagt inn fane for skåringstabell, pareto og pareto-negativ. Default er at SPC-fanen ikke henter data fra skåringstabellen.</t>
  </si>
  <si>
    <t xml:space="preserve">Fargelagt kolonnen for verdi (grønn) og brudd (grå), for å gjøre disse mer synlig. </t>
  </si>
  <si>
    <t>Betinget formatering fremhever brudd-markering, manglende verdi og manglende radnummerering</t>
  </si>
  <si>
    <t>Symboler vises for de tre testene i forklaringsboksen i SPC-fanen</t>
  </si>
  <si>
    <t>Eksklusjon av datapunkter er innført</t>
  </si>
  <si>
    <t>Feilretting: feil i koden for 7. periode er rettet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</si>
</sst>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BFBFB"/>
      <name val="Calibri"/>
      <family val="2"/>
      <scheme val="minor"/>
    </font>
    <font>
      <b/>
      <sz val="20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BFBFB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2" borderId="1" applyNumberFormat="0" applyFont="0" applyAlignment="0" applyProtection="0"/>
    <xf numFmtId="0" fontId="4" fillId="3" borderId="2" applyNumberFormat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3" fillId="6" borderId="0" applyNumberFormat="0" applyBorder="0" applyAlignment="0" applyProtection="0"/>
  </cellStyleXfs>
  <cellXfs count="38">
    <xf numFmtId="0" fontId="0" fillId="0" borderId="0" xfId="0"/>
    <xf numFmtId="0" fontId="2" fillId="0" borderId="0" xfId="2"/>
    <xf numFmtId="2" fontId="0" fillId="0" borderId="0" xfId="0" applyNumberFormat="1"/>
    <xf numFmtId="0" fontId="0" fillId="4" borderId="0" xfId="0" applyFill="1"/>
    <xf numFmtId="14" fontId="0" fillId="0" borderId="0" xfId="0" applyNumberForma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6" fillId="4" borderId="0" xfId="0" applyFont="1" applyFill="1"/>
    <xf numFmtId="0" fontId="7" fillId="2" borderId="1" xfId="3" applyFont="1"/>
    <xf numFmtId="0" fontId="7" fillId="2" borderId="1" xfId="3" applyNumberFormat="1" applyFont="1"/>
    <xf numFmtId="0" fontId="4" fillId="3" borderId="2" xfId="4" applyAlignment="1">
      <alignment horizontal="left"/>
    </xf>
    <xf numFmtId="0" fontId="4" fillId="3" borderId="2" xfId="4"/>
    <xf numFmtId="0" fontId="5" fillId="2" borderId="1" xfId="3" applyFont="1"/>
    <xf numFmtId="0" fontId="4" fillId="3" borderId="2" xfId="4" applyAlignment="1">
      <alignment vertical="center"/>
    </xf>
    <xf numFmtId="0" fontId="10" fillId="0" borderId="0" xfId="2" applyFont="1" applyAlignment="1"/>
    <xf numFmtId="0" fontId="6" fillId="2" borderId="1" xfId="3" applyFont="1"/>
    <xf numFmtId="0" fontId="6" fillId="0" borderId="3" xfId="0" applyFont="1" applyBorder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/>
    <xf numFmtId="2" fontId="6" fillId="0" borderId="0" xfId="0" applyNumberFormat="1" applyFont="1"/>
    <xf numFmtId="2" fontId="6" fillId="0" borderId="6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8" xfId="0" applyFont="1" applyBorder="1"/>
    <xf numFmtId="0" fontId="9" fillId="0" borderId="8" xfId="0" applyFont="1" applyBorder="1"/>
    <xf numFmtId="0" fontId="6" fillId="0" borderId="9" xfId="0" applyFont="1" applyBorder="1"/>
    <xf numFmtId="0" fontId="11" fillId="0" borderId="0" xfId="0" applyFont="1"/>
    <xf numFmtId="0" fontId="12" fillId="3" borderId="2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5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5" borderId="0" xfId="6"/>
    <xf numFmtId="0" fontId="3" fillId="6" borderId="0" xfId="7"/>
  </cellXfs>
  <cellStyles count="8">
    <cellStyle name="20 % – uthevingsfarge 3" xfId="7" builtinId="38"/>
    <cellStyle name="God" xfId="6" builtinId="26"/>
    <cellStyle name="Inndata" xfId="4" builtinId="20"/>
    <cellStyle name="Komma" xfId="5" builtinId="3"/>
    <cellStyle name="Merknad" xfId="3" builtinId="10"/>
    <cellStyle name="Normal" xfId="0" builtinId="0"/>
    <cellStyle name="Normal 2" xfId="1" xr:uid="{00000000-0005-0000-0000-000006000000}"/>
    <cellStyle name="Tittel" xfId="2" builtinId="15"/>
  </cellStyles>
  <dxfs count="81">
    <dxf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0" readingOrder="0"/>
    </dxf>
    <dxf>
      <numFmt numFmtId="165" formatCode="_ * #,##0.0_ ;_ * \-#,##0.0_ ;_ * &quot;-&quot;??_ ;_ @_ "/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8181"/>
      <color rgb="FFF58383"/>
      <color rgb="FFFBFBFB"/>
      <color rgb="FFBF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SPC!$A$4</c:f>
          <c:strCache>
            <c:ptCount val="1"/>
            <c:pt idx="0">
              <c:v>Overskrift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560879235832067E-2"/>
          <c:y val="0.16086786952551926"/>
          <c:w val="0.91001698510165208"/>
          <c:h val="0.61666493726838123"/>
        </c:manualLayout>
      </c:layout>
      <c:lineChart>
        <c:grouping val="standard"/>
        <c:varyColors val="0"/>
        <c:ser>
          <c:idx val="32"/>
          <c:order val="0"/>
          <c:tx>
            <c:strRef>
              <c:f>SPC!$BQ$14</c:f>
              <c:strCache>
                <c:ptCount val="1"/>
                <c:pt idx="0">
                  <c:v>EkslGraf</c:v>
                </c:pt>
              </c:strCache>
            </c:strRef>
          </c:tx>
          <c:spPr>
            <a:ln w="9525" cap="rnd">
              <a:solidFill>
                <a:srgbClr val="5B9BD5">
                  <a:lumMod val="60000"/>
                  <a:lumOff val="40000"/>
                  <a:alpha val="60000"/>
                </a:srgbClr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noFill/>
              <a:ln w="3175">
                <a:solidFill>
                  <a:srgbClr val="5B9BD5">
                    <a:lumMod val="60000"/>
                    <a:lumOff val="40000"/>
                  </a:srgbClr>
                </a:solidFill>
                <a:prstDash val="sysDash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F8E051E-9A23-4138-93F7-64E7E3D67DE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41-4E52-8EFB-40073791C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SPC!$BQ$15:$BQ$15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SPC!$E$15:$E$15</c15:f>
                <c15:dlblRangeCache>
                  <c:ptCount val="1"/>
                </c15:dlblRangeCache>
              </c15:datalabelsRange>
            </c:ext>
            <c:ext xmlns:c16="http://schemas.microsoft.com/office/drawing/2014/chart" uri="{C3380CC4-5D6E-409C-BE32-E72D297353CC}">
              <c16:uniqueId val="{00000000-2954-4ACE-9901-C0CB4DF41CDC}"/>
            </c:ext>
          </c:extLst>
        </c:ser>
        <c:ser>
          <c:idx val="2"/>
          <c:order val="1"/>
          <c:tx>
            <c:strRef>
              <c:f>SPC!$H$14</c:f>
              <c:strCache>
                <c:ptCount val="1"/>
                <c:pt idx="0">
                  <c:v>Mål</c:v>
                </c:pt>
              </c:strCache>
            </c:strRef>
          </c:tx>
          <c:spPr>
            <a:ln w="1270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SPC!$H$15:$H$15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6C-4E91-82CF-24F653D46838}"/>
            </c:ext>
          </c:extLst>
        </c:ser>
        <c:ser>
          <c:idx val="3"/>
          <c:order val="2"/>
          <c:tx>
            <c:strRef>
              <c:f>SPC!$N$14</c:f>
              <c:strCache>
                <c:ptCount val="1"/>
                <c:pt idx="0">
                  <c:v>Snitt1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SPC!$N$15:$N$15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C-41EC-821F-0A5EF146D46B}"/>
            </c:ext>
          </c:extLst>
        </c:ser>
        <c:ser>
          <c:idx val="5"/>
          <c:order val="3"/>
          <c:tx>
            <c:strRef>
              <c:f>SPC!$O$14</c:f>
              <c:strCache>
                <c:ptCount val="1"/>
                <c:pt idx="0">
                  <c:v>Snitt2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SPC!$O$15:$O$15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C-41EC-821F-0A5EF146D46B}"/>
            </c:ext>
          </c:extLst>
        </c:ser>
        <c:ser>
          <c:idx val="6"/>
          <c:order val="4"/>
          <c:tx>
            <c:strRef>
              <c:f>SPC!$P$14</c:f>
              <c:strCache>
                <c:ptCount val="1"/>
                <c:pt idx="0">
                  <c:v>Snitt3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SPC!$P$15:$P$15</c:f>
              <c:numCache>
                <c:formatCode>0.00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6C-41EC-821F-0A5EF146D46B}"/>
            </c:ext>
          </c:extLst>
        </c:ser>
        <c:ser>
          <c:idx val="7"/>
          <c:order val="5"/>
          <c:tx>
            <c:strRef>
              <c:f>SPC!$Q$14</c:f>
              <c:strCache>
                <c:ptCount val="1"/>
                <c:pt idx="0">
                  <c:v>Snitt4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SPC!$Q$15:$Q$15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3-4E16-B2D7-A90BBBB6CE59}"/>
            </c:ext>
          </c:extLst>
        </c:ser>
        <c:ser>
          <c:idx val="8"/>
          <c:order val="6"/>
          <c:tx>
            <c:strRef>
              <c:f>SPC!$U$14</c:f>
              <c:strCache>
                <c:ptCount val="1"/>
                <c:pt idx="0">
                  <c:v>UCL1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SPC!$U$15:$U$15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3-4E16-B2D7-A90BBBB6CE59}"/>
            </c:ext>
          </c:extLst>
        </c:ser>
        <c:ser>
          <c:idx val="9"/>
          <c:order val="7"/>
          <c:tx>
            <c:strRef>
              <c:f>SPC!$V$14</c:f>
              <c:strCache>
                <c:ptCount val="1"/>
                <c:pt idx="0">
                  <c:v>UCL2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SPC!$V$15:$V$15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3-4E16-B2D7-A90BBBB6CE59}"/>
            </c:ext>
          </c:extLst>
        </c:ser>
        <c:ser>
          <c:idx val="10"/>
          <c:order val="8"/>
          <c:tx>
            <c:strRef>
              <c:f>SPC!$W$14</c:f>
              <c:strCache>
                <c:ptCount val="1"/>
                <c:pt idx="0">
                  <c:v>UCL3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SPC!$W$15:$W$15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3-4E16-B2D7-A90BBBB6CE59}"/>
            </c:ext>
          </c:extLst>
        </c:ser>
        <c:ser>
          <c:idx val="11"/>
          <c:order val="9"/>
          <c:tx>
            <c:strRef>
              <c:f>SPC!$X$14</c:f>
              <c:strCache>
                <c:ptCount val="1"/>
                <c:pt idx="0">
                  <c:v>UCL4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SPC!$X$15:$X$15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3-4E16-B2D7-A90BBBB6CE59}"/>
            </c:ext>
          </c:extLst>
        </c:ser>
        <c:ser>
          <c:idx val="12"/>
          <c:order val="10"/>
          <c:tx>
            <c:strRef>
              <c:f>SPC!$AB$14</c:f>
              <c:strCache>
                <c:ptCount val="1"/>
                <c:pt idx="0">
                  <c:v>LCL1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SPC!$AB$15:$AB$15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C3-4E16-B2D7-A90BBBB6CE59}"/>
            </c:ext>
          </c:extLst>
        </c:ser>
        <c:ser>
          <c:idx val="13"/>
          <c:order val="11"/>
          <c:tx>
            <c:strRef>
              <c:f>SPC!$AC$14</c:f>
              <c:strCache>
                <c:ptCount val="1"/>
                <c:pt idx="0">
                  <c:v>LCL2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SPC!$AC$15:$AC$15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C3-4E16-B2D7-A90BBBB6CE59}"/>
            </c:ext>
          </c:extLst>
        </c:ser>
        <c:ser>
          <c:idx val="14"/>
          <c:order val="12"/>
          <c:tx>
            <c:strRef>
              <c:f>SPC!$AD$14</c:f>
              <c:strCache>
                <c:ptCount val="1"/>
                <c:pt idx="0">
                  <c:v>LCL3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SPC!$AD$15:$AD$15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C3-4E16-B2D7-A90BBBB6CE59}"/>
            </c:ext>
          </c:extLst>
        </c:ser>
        <c:ser>
          <c:idx val="15"/>
          <c:order val="13"/>
          <c:tx>
            <c:strRef>
              <c:f>SPC!$AE$14</c:f>
              <c:strCache>
                <c:ptCount val="1"/>
                <c:pt idx="0">
                  <c:v>LCL4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SPC!$AE$15:$AE$15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C3-4E16-B2D7-A90BBBB6CE59}"/>
            </c:ext>
          </c:extLst>
        </c:ser>
        <c:ser>
          <c:idx val="16"/>
          <c:order val="14"/>
          <c:tx>
            <c:strRef>
              <c:f>SPC!$AP$14</c:f>
              <c:strCache>
                <c:ptCount val="1"/>
                <c:pt idx="0">
                  <c:v>Verdi1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SPC!$AP$15:$AP$15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C3-4E16-B2D7-A90BBBB6CE59}"/>
            </c:ext>
          </c:extLst>
        </c:ser>
        <c:ser>
          <c:idx val="17"/>
          <c:order val="15"/>
          <c:tx>
            <c:strRef>
              <c:f>SPC!$AQ$14</c:f>
              <c:strCache>
                <c:ptCount val="1"/>
                <c:pt idx="0">
                  <c:v>Verdi2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SPC!$AQ$15:$AQ$15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C3-4E16-B2D7-A90BBBB6CE59}"/>
            </c:ext>
          </c:extLst>
        </c:ser>
        <c:ser>
          <c:idx val="18"/>
          <c:order val="16"/>
          <c:tx>
            <c:strRef>
              <c:f>SPC!$AR$14</c:f>
              <c:strCache>
                <c:ptCount val="1"/>
                <c:pt idx="0">
                  <c:v>Verdi3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SPC!$AR$15:$AR$15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C3-4E16-B2D7-A90BBBB6CE59}"/>
            </c:ext>
          </c:extLst>
        </c:ser>
        <c:ser>
          <c:idx val="19"/>
          <c:order val="17"/>
          <c:tx>
            <c:strRef>
              <c:f>SPC!$AS$14</c:f>
              <c:strCache>
                <c:ptCount val="1"/>
                <c:pt idx="0">
                  <c:v>Verdi4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SPC!$AS$15:$AS$15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C3-4E16-B2D7-A90BBBB6CE59}"/>
            </c:ext>
          </c:extLst>
        </c:ser>
        <c:ser>
          <c:idx val="0"/>
          <c:order val="18"/>
          <c:tx>
            <c:strRef>
              <c:f>SPC!$R$14</c:f>
              <c:strCache>
                <c:ptCount val="1"/>
                <c:pt idx="0">
                  <c:v>Snitt5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SPC!$R$15:$R$15</c:f>
              <c:numCache>
                <c:formatCode>General</c:formatCode>
                <c:ptCount val="1"/>
                <c:pt idx="0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459-4A96-AF2F-6EC60DB479F0}"/>
            </c:ext>
          </c:extLst>
        </c:ser>
        <c:ser>
          <c:idx val="1"/>
          <c:order val="19"/>
          <c:tx>
            <c:strRef>
              <c:f>SPC!$S$14</c:f>
              <c:strCache>
                <c:ptCount val="1"/>
                <c:pt idx="0">
                  <c:v>Snitt6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SPC!$S$15:$S$15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9-4A96-AF2F-6EC60DB479F0}"/>
            </c:ext>
          </c:extLst>
        </c:ser>
        <c:ser>
          <c:idx val="4"/>
          <c:order val="20"/>
          <c:tx>
            <c:strRef>
              <c:f>SPC!$T$14</c:f>
              <c:strCache>
                <c:ptCount val="1"/>
                <c:pt idx="0">
                  <c:v>Snitt7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SPC!$T$15:$T$15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9-4A96-AF2F-6EC60DB479F0}"/>
            </c:ext>
          </c:extLst>
        </c:ser>
        <c:ser>
          <c:idx val="20"/>
          <c:order val="21"/>
          <c:tx>
            <c:strRef>
              <c:f>SPC!$Y$14</c:f>
              <c:strCache>
                <c:ptCount val="1"/>
                <c:pt idx="0">
                  <c:v>UCL5</c:v>
                </c:pt>
              </c:strCache>
              <c:extLst xmlns:c15="http://schemas.microsoft.com/office/drawing/2012/chart"/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SPC!$Y$15:$Y$15</c:f>
              <c:numCache>
                <c:formatCode>General</c:formatCode>
                <c:ptCount val="1"/>
                <c:pt idx="0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459-4A96-AF2F-6EC60DB479F0}"/>
            </c:ext>
          </c:extLst>
        </c:ser>
        <c:ser>
          <c:idx val="21"/>
          <c:order val="22"/>
          <c:tx>
            <c:strRef>
              <c:f>SPC!$Z$14</c:f>
              <c:strCache>
                <c:ptCount val="1"/>
                <c:pt idx="0">
                  <c:v>UCL6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SPC!$Z$15:$Z$15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59-4A96-AF2F-6EC60DB479F0}"/>
            </c:ext>
          </c:extLst>
        </c:ser>
        <c:ser>
          <c:idx val="22"/>
          <c:order val="23"/>
          <c:tx>
            <c:strRef>
              <c:f>SPC!$AA$14</c:f>
              <c:strCache>
                <c:ptCount val="1"/>
                <c:pt idx="0">
                  <c:v>UCL7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SPC!$AA$15:$AA$15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59-4A96-AF2F-6EC60DB479F0}"/>
            </c:ext>
          </c:extLst>
        </c:ser>
        <c:ser>
          <c:idx val="23"/>
          <c:order val="24"/>
          <c:tx>
            <c:strRef>
              <c:f>SPC!$AF$14</c:f>
              <c:strCache>
                <c:ptCount val="1"/>
                <c:pt idx="0">
                  <c:v>LCL5</c:v>
                </c:pt>
              </c:strCache>
              <c:extLst xmlns:c15="http://schemas.microsoft.com/office/drawing/2012/chart"/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SPC!$AF$15:$AF$15</c:f>
              <c:numCache>
                <c:formatCode>General</c:formatCode>
                <c:ptCount val="1"/>
                <c:pt idx="0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E459-4A96-AF2F-6EC60DB479F0}"/>
            </c:ext>
          </c:extLst>
        </c:ser>
        <c:ser>
          <c:idx val="24"/>
          <c:order val="25"/>
          <c:tx>
            <c:strRef>
              <c:f>SPC!$AG$14</c:f>
              <c:strCache>
                <c:ptCount val="1"/>
                <c:pt idx="0">
                  <c:v>LCL6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SPC!$AG$15:$AG$15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59-4A96-AF2F-6EC60DB479F0}"/>
            </c:ext>
          </c:extLst>
        </c:ser>
        <c:ser>
          <c:idx val="25"/>
          <c:order val="26"/>
          <c:tx>
            <c:strRef>
              <c:f>SPC!$AH$14</c:f>
              <c:strCache>
                <c:ptCount val="1"/>
                <c:pt idx="0">
                  <c:v>LCL7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SPC!$AH$15:$AH$15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59-4A96-AF2F-6EC60DB479F0}"/>
            </c:ext>
          </c:extLst>
        </c:ser>
        <c:ser>
          <c:idx val="26"/>
          <c:order val="27"/>
          <c:tx>
            <c:strRef>
              <c:f>SPC!$AT$14</c:f>
              <c:strCache>
                <c:ptCount val="1"/>
                <c:pt idx="0">
                  <c:v>Verdi5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SPC!$AT$15:$AT$15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459-4A96-AF2F-6EC60DB479F0}"/>
            </c:ext>
          </c:extLst>
        </c:ser>
        <c:ser>
          <c:idx val="27"/>
          <c:order val="28"/>
          <c:tx>
            <c:strRef>
              <c:f>SPC!$AU$14</c:f>
              <c:strCache>
                <c:ptCount val="1"/>
                <c:pt idx="0">
                  <c:v>Verdi6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SPC!$AU$15:$AU$15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459-4A96-AF2F-6EC60DB479F0}"/>
            </c:ext>
          </c:extLst>
        </c:ser>
        <c:ser>
          <c:idx val="28"/>
          <c:order val="29"/>
          <c:tx>
            <c:strRef>
              <c:f>SPC!$AV$14</c:f>
              <c:strCache>
                <c:ptCount val="1"/>
                <c:pt idx="0">
                  <c:v>Verdi7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SPC!$AV$15:$AV$15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459-4A96-AF2F-6EC60DB479F0}"/>
            </c:ext>
          </c:extLst>
        </c:ser>
        <c:ser>
          <c:idx val="29"/>
          <c:order val="30"/>
          <c:tx>
            <c:strRef>
              <c:f>SPC!$BG$14</c:f>
              <c:strCache>
                <c:ptCount val="1"/>
                <c:pt idx="0">
                  <c:v>Test 3: trend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6350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SPC!$BG$15:$BG$15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5-4918-B69B-8999A4333C5F}"/>
            </c:ext>
          </c:extLst>
        </c:ser>
        <c:ser>
          <c:idx val="30"/>
          <c:order val="31"/>
          <c:tx>
            <c:strRef>
              <c:f>SPC!$BL$14</c:f>
              <c:strCache>
                <c:ptCount val="1"/>
                <c:pt idx="0">
                  <c:v>Test 2: skifte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SPC!$BL$15:$BL$15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E-4193-9EE2-E4078D8BAC22}"/>
            </c:ext>
          </c:extLst>
        </c:ser>
        <c:ser>
          <c:idx val="31"/>
          <c:order val="32"/>
          <c:tx>
            <c:strRef>
              <c:f>SPC!$BM$14</c:f>
              <c:strCache>
                <c:ptCount val="1"/>
                <c:pt idx="0">
                  <c:v>Test1: punkt utenfor kontrollgrense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6350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SPC!$BM$15:$BM$15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E-4193-9EE2-E4078D8BA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24792"/>
        <c:axId val="573134592"/>
        <c:extLst/>
      </c:lineChart>
      <c:catAx>
        <c:axId val="573124792"/>
        <c:scaling>
          <c:orientation val="minMax"/>
        </c:scaling>
        <c:delete val="0"/>
        <c:axPos val="b"/>
        <c:title>
          <c:tx>
            <c:strRef>
              <c:f>SPC!$CM$13</c:f>
              <c:strCache>
                <c:ptCount val="1"/>
                <c:pt idx="0">
                  <c:v>#VERDI!</c:v>
                </c:pt>
              </c:strCache>
            </c:strRef>
          </c:tx>
          <c:layout>
            <c:manualLayout>
              <c:xMode val="edge"/>
              <c:yMode val="edge"/>
              <c:x val="8.4917382287016244E-2"/>
              <c:y val="0.91041223630212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134592"/>
        <c:crosses val="autoZero"/>
        <c:auto val="0"/>
        <c:lblAlgn val="ctr"/>
        <c:lblOffset val="100"/>
        <c:noMultiLvlLbl val="0"/>
      </c:catAx>
      <c:valAx>
        <c:axId val="57313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SPC!$G$8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1.447084565799879E-2"/>
              <c:y val="0.37403356217673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1247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Diagramtittel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Diagramtittel</a:t>
          </a:r>
        </a:p>
      </cx:txPr>
    </cx:title>
    <cx:plotArea>
      <cx:plotAreaRegion>
        <cx:series layoutId="clusteredColumn" uniqueId="{60E2DC77-9D69-4812-8088-8E2567F69AE8}">
          <cx:tx>
            <cx:txData>
              <cx:f>_xlchart.v1.1</cx:f>
              <cx:v>Sum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D7AD6C1-10C8-4344-B402-F3B9C842B1D4}">
          <cx:axisId val="2"/>
        </cx:series>
      </cx:plotAreaRegion>
      <cx:axis id="0">
        <cx:catScaling gapWidth="0.77999997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Diagramtittel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Diagramtittel</a:t>
          </a:r>
        </a:p>
      </cx:txPr>
    </cx:title>
    <cx:plotArea>
      <cx:plotAreaRegion>
        <cx:series layoutId="clusteredColumn" uniqueId="{60E2DC77-9D69-4812-8088-8E2567F69AE8}">
          <cx:tx>
            <cx:txData>
              <cx:f>_xlchart.v1.4</cx:f>
              <cx:v>Sum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D7AD6C1-10C8-4344-B402-F3B9C842B1D4}">
          <cx:axisId val="2"/>
        </cx:series>
      </cx:plotAreaRegion>
      <cx:axis id="0">
        <cx:catScaling gapWidth="0.77999997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72</xdr:col>
      <xdr:colOff>6784</xdr:colOff>
      <xdr:row>14</xdr:row>
      <xdr:rowOff>27099</xdr:rowOff>
    </xdr:from>
    <xdr:to>
      <xdr:col>83</xdr:col>
      <xdr:colOff>1559350</xdr:colOff>
      <xdr:row>31</xdr:row>
      <xdr:rowOff>14431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84</xdr:col>
      <xdr:colOff>122101</xdr:colOff>
      <xdr:row>6</xdr:row>
      <xdr:rowOff>108270</xdr:rowOff>
    </xdr:from>
    <xdr:to>
      <xdr:col>86</xdr:col>
      <xdr:colOff>2760074</xdr:colOff>
      <xdr:row>50</xdr:row>
      <xdr:rowOff>156882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56248" y="1632270"/>
          <a:ext cx="5192914" cy="81840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 b="1"/>
            <a:t>Hvor mye data trenger jeg?</a:t>
          </a:r>
        </a:p>
        <a:p>
          <a:pPr algn="l"/>
          <a:r>
            <a:rPr lang="nb-NO" sz="1100"/>
            <a:t>* Du bør ha minimum 20 datapunkter. 20-40 er anbefalt antall.</a:t>
          </a:r>
        </a:p>
        <a:p>
          <a:pPr algn="l"/>
          <a:endParaRPr lang="nb-NO" sz="1100"/>
        </a:p>
        <a:p>
          <a:pPr algn="l"/>
          <a:r>
            <a:rPr lang="nb-NO" sz="1100" b="1"/>
            <a:t>Hvordan</a:t>
          </a:r>
          <a:r>
            <a:rPr lang="nb-NO" sz="1100" b="1" baseline="0"/>
            <a:t> ser vi om vi har en endring, som ikke bare er tilfeldig (normal) variasjon?</a:t>
          </a:r>
        </a:p>
        <a:p>
          <a:pPr algn="l"/>
          <a:r>
            <a:rPr lang="nb-NO" sz="1100" baseline="0"/>
            <a:t>De tre grunnleggende signalene vi kan se etter: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</a:t>
          </a:r>
          <a:r>
            <a:rPr lang="nb-NO" sz="1100" baseline="0">
              <a:sym typeface="Wingdings" panose="05000000000000000000" pitchFamily="2" charset="2"/>
            </a:rPr>
            <a:t> </a:t>
          </a:r>
          <a:r>
            <a:rPr lang="nb-NO" sz="1100" baseline="0"/>
            <a:t>Test 1 - Spesiell årsak.</a:t>
          </a:r>
        </a:p>
        <a:p>
          <a:pPr algn="l"/>
          <a:r>
            <a:rPr lang="nb-NO" sz="1100" baseline="0"/>
            <a:t>Punkter på utsiden av øvre (UCL) eller nedre (LCL) kontrollgrense.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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</a:t>
          </a:r>
          <a:r>
            <a:rPr lang="nb-NO" sz="1100" baseline="0"/>
            <a:t>Test 2 - Skifte </a:t>
          </a:r>
        </a:p>
        <a:p>
          <a:pPr algn="l"/>
          <a:r>
            <a:rPr lang="nb-NO" sz="1100" baseline="0"/>
            <a:t>Åtte punkter etter hverandre som alle er på samme side av gjennomsnittslinjen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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aseline="0"/>
            <a:t>Test 3 - Trend</a:t>
          </a:r>
        </a:p>
        <a:p>
          <a:pPr algn="l"/>
          <a:r>
            <a:rPr lang="nb-NO" sz="1100" baseline="0"/>
            <a:t>Seks eller flere punkter i en rekke som enten øker eller synker</a:t>
          </a:r>
        </a:p>
        <a:p>
          <a:pPr algn="l"/>
          <a:endParaRPr lang="nb-NO" sz="1100" baseline="0"/>
        </a:p>
        <a:p>
          <a:pPr algn="l"/>
          <a:r>
            <a:rPr lang="nb-NO" sz="1100" b="1" baseline="0"/>
            <a:t>Nyttig å vite</a:t>
          </a:r>
        </a:p>
        <a:p>
          <a:pPr algn="l"/>
          <a:r>
            <a:rPr lang="nb-NO" sz="1100" baseline="0"/>
            <a:t>1. Marker brudd ved å sette inn stjerne * i kolonnen for brudd ved punktet der den nye perioden starter. Skriv forklaring til brudd i "Kommentar1". Denne vil vises i diagrammet.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2. Marker verdier som skal ekskluderes med en x i kolonnen for brudd. Ekskludert verdier inngår ikke i beregning av snitt, median, kontrollgrenser eller tester, men vises med stiplet linje i diagrammet.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Skriv forklaring til eksklusjonen i "Kommentar1". Denne vil vises i diagrammet.</a:t>
          </a:r>
          <a:endParaRPr lang="nb-NO" sz="1100" baseline="0"/>
        </a:p>
        <a:p>
          <a:pPr algn="l"/>
          <a:r>
            <a:rPr lang="nb-NO" sz="1100" baseline="0"/>
            <a:t>3. Overskrift i diagrammene oppdateres ved å endre overskriften over tabellen, i A1</a:t>
          </a:r>
        </a:p>
        <a:p>
          <a:pPr algn="l"/>
          <a:r>
            <a:rPr lang="nb-NO" sz="1100" baseline="0"/>
            <a:t>4. Mål kan synliggjøres i diagrammet ved å sette inn et tall i E1</a:t>
          </a:r>
        </a:p>
        <a:p>
          <a:pPr algn="l"/>
          <a:r>
            <a:rPr lang="nb-NO" sz="1100" baseline="0"/>
            <a:t>5. Tekst, benevnelser og antall desimaler i beskrivelsen kan tilpasses ved å endre i de oransje cellene øverst på siden</a:t>
          </a:r>
        </a:p>
        <a:p>
          <a:pPr algn="l"/>
          <a:r>
            <a:rPr lang="nb-NO" sz="1100" baseline="0"/>
            <a:t>6. De fire kolonnene for kommentar kan benyttes fritt. </a:t>
          </a:r>
          <a:endParaRPr lang="nb-NO" sz="1100"/>
        </a:p>
        <a:p>
          <a:pPr algn="l"/>
          <a:r>
            <a:rPr lang="nb-NO" sz="1100"/>
            <a:t>7. For å bruke dato (eller annen info i kolonne B) som</a:t>
          </a:r>
          <a:r>
            <a:rPr lang="nb-NO" sz="1100" baseline="0"/>
            <a:t> akseetiketter, klikker du på dataserien i diagrammet og flytter den lilla rammen fra nummereringen i kolonne A til kolonne B.</a:t>
          </a:r>
        </a:p>
        <a:p>
          <a:pPr algn="l"/>
          <a:r>
            <a:rPr lang="nb-NO" sz="1100" baseline="0"/>
            <a:t>8. Utskrift: For å skrive ut bare diagrammet kan du markere det før du går til utskrift.</a:t>
          </a:r>
        </a:p>
        <a:p>
          <a:pPr algn="l"/>
          <a:r>
            <a:rPr lang="nb-NO" sz="1100" baseline="0"/>
            <a:t>9. Y-aksen starter på null som standard. Diagrammet vil derfor ikke vise negative verdier eller en kontrollgrense som ligger under null. Gå til aksealternativer hvis du vil endre skalaen og nullpunktet.</a:t>
          </a:r>
          <a:endParaRPr lang="nb-NO" sz="1100"/>
        </a:p>
        <a:p>
          <a:pPr algn="l"/>
          <a:endParaRPr lang="nb-NO" sz="1100"/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Viktig å passe på teknisk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Hvert datapunkt må være nummerert (de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nummereres automatisk)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Hvert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datapunkt må ha en verdi (det må ikke være hull midt i tabellen). 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Ikke rør innholdet i celler med lysegrå bakgrunnsfarge, eller i innholdet i skjulte kolonner, da det kan bryte funksjonaliteten.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Hvis tabellen ikke utvider seg automatisk når du legger inn nye data, kan det skyldes at det ligger synlig eller usynlig innhold i cellene under tabellen. Marker celleområdet nedenfor tabellen og slett (delete), og prøv igjen.</a:t>
          </a:r>
          <a:endParaRPr lang="nb-NO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Har du kommet i skade for å gjøre noe som gjør at ting ikke fungerer, kan du ta vare på dataene dine, hente opp denne malen på nytt og prøve igjen.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Referanse: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Forbedringsarbeid og statistisk prosesskontroll (SPC), versjon 2.0 (2009). Bjørnar Nyen, Nasjonalt kunnskapssenter for helsetjenesten</a:t>
          </a:r>
          <a:endParaRPr lang="nb-NO">
            <a:effectLst/>
          </a:endParaRPr>
        </a:p>
      </xdr:txBody>
    </xdr:sp>
    <xdr:clientData fPrintsWithSheet="0"/>
  </xdr:twoCellAnchor>
  <xdr:twoCellAnchor editAs="absolute">
    <xdr:from>
      <xdr:col>0</xdr:col>
      <xdr:colOff>87086</xdr:colOff>
      <xdr:row>0</xdr:row>
      <xdr:rowOff>65315</xdr:rowOff>
    </xdr:from>
    <xdr:to>
      <xdr:col>4</xdr:col>
      <xdr:colOff>204108</xdr:colOff>
      <xdr:row>0</xdr:row>
      <xdr:rowOff>334806</xdr:rowOff>
    </xdr:to>
    <xdr:pic>
      <xdr:nvPicPr>
        <xdr:cNvPr id="6" name="Grafikk 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086" y="65315"/>
          <a:ext cx="2797629" cy="269491"/>
        </a:xfrm>
        <a:prstGeom prst="rect">
          <a:avLst/>
        </a:prstGeom>
      </xdr:spPr>
    </xdr:pic>
    <xdr:clientData/>
  </xdr:twoCellAnchor>
  <xdr:twoCellAnchor editAs="absolute">
    <xdr:from>
      <xdr:col>72</xdr:col>
      <xdr:colOff>32481</xdr:colOff>
      <xdr:row>0</xdr:row>
      <xdr:rowOff>133350</xdr:rowOff>
    </xdr:from>
    <xdr:to>
      <xdr:col>77</xdr:col>
      <xdr:colOff>331723</xdr:colOff>
      <xdr:row>0</xdr:row>
      <xdr:rowOff>402841</xdr:rowOff>
    </xdr:to>
    <xdr:pic>
      <xdr:nvPicPr>
        <xdr:cNvPr id="8" name="Grafikk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61981" y="133350"/>
          <a:ext cx="2762135" cy="26949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0.9873</cdr:y>
    </cdr:from>
    <cdr:to>
      <cdr:x>0.99341</cdr:x>
      <cdr:y>1</cdr:y>
    </cdr:to>
    <cdr:sp macro="" textlink="SPC!$CM$12">
      <cdr:nvSpPr>
        <cdr:cNvPr id="2" name="Rektangel 1"/>
        <cdr:cNvSpPr/>
      </cdr:nvSpPr>
      <cdr:spPr>
        <a:xfrm xmlns:a="http://schemas.openxmlformats.org/drawingml/2006/main">
          <a:off x="410149" y="4468057"/>
          <a:ext cx="8493840" cy="57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9F363D1B-1C0D-4ABB-8D06-727E11923E64}" type="TxLink">
            <a:rPr lang="en-US" sz="800" b="0" i="0" u="none" strike="noStrike">
              <a:solidFill>
                <a:schemeClr val="bg1"/>
              </a:solidFill>
              <a:latin typeface="Calibri"/>
            </a:rPr>
            <a:pPr algn="ctr"/>
            <a:t>#VERDI!</a:t>
          </a:fld>
          <a:endParaRPr lang="nb-NO" sz="8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19050</xdr:rowOff>
    </xdr:from>
    <xdr:to>
      <xdr:col>8</xdr:col>
      <xdr:colOff>502920</xdr:colOff>
      <xdr:row>16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203200"/>
              <a:ext cx="461772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19050</xdr:rowOff>
    </xdr:from>
    <xdr:to>
      <xdr:col>8</xdr:col>
      <xdr:colOff>502920</xdr:colOff>
      <xdr:row>16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203200"/>
              <a:ext cx="461772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1345" displayName="Tabell1345" ref="A14:BS15" totalsRowShown="0">
  <autoFilter ref="A14:BS15" xr:uid="{00000000-0009-0000-0100-000004000000}"/>
  <tableColumns count="71">
    <tableColumn id="1" xr3:uid="{00000000-0010-0000-0000-000001000000}" name="Nr" dataDxfId="80">
      <calculatedColumnFormula>IF(ISNUMBER(OFFSET(Tabell1345[[#This Row],[Nr]],-1,0)),OFFSET(Tabell1345[[#This Row],[Nr]],-1,0))+1</calculatedColumnFormula>
    </tableColumn>
    <tableColumn id="2" xr3:uid="{00000000-0010-0000-0000-000002000000}" name="Dato"/>
    <tableColumn id="3" xr3:uid="{00000000-0010-0000-0000-000003000000}" name="Verdi" dataCellStyle="God"/>
    <tableColumn id="4" xr3:uid="{00000000-0010-0000-0000-000004000000}" name="Brudd"/>
    <tableColumn id="35" xr3:uid="{00000000-0010-0000-0000-000023000000}" name="Kommentar1"/>
    <tableColumn id="36" xr3:uid="{00000000-0010-0000-0000-000024000000}" name="Kommentar2"/>
    <tableColumn id="5" xr3:uid="{00000000-0010-0000-0000-000005000000}" name="Kommentar3" dataDxfId="79"/>
    <tableColumn id="30" xr3:uid="{00000000-0010-0000-0000-00001E000000}" name="Mål" dataDxfId="78">
      <calculatedColumnFormula>IF($B$6&lt;&gt;"",$B$6,NA())</calculatedColumnFormula>
    </tableColumn>
    <tableColumn id="6" xr3:uid="{00000000-0010-0000-0000-000006000000}" name="BruddKode " dataDxfId="77">
      <calculatedColumnFormula>IF(OR(Tabell1345[[#This Row],[Brudd]]="*",ROW()-ROW(Tabell1345[#All])+1=ROWS(Tabell1345[#All])),ROW())</calculatedColumnFormula>
    </tableColumn>
    <tableColumn id="9" xr3:uid="{00000000-0010-0000-0000-000009000000}" name="Snitt" dataDxfId="76">
      <calculatedColumnFormula>VLOOKUP(Tabell1345[[#This Row],[Nr]],$BV$2:$CB$11,4,TRUE)</calculatedColumnFormula>
    </tableColumn>
    <tableColumn id="10" xr3:uid="{00000000-0010-0000-0000-00000A000000}" name="LCL" dataDxfId="75">
      <calculatedColumnFormula>VLOOKUP(Tabell1345[[#This Row],[Nr]],$BV$2:$CB$11,7,TRUE)</calculatedColumnFormula>
    </tableColumn>
    <tableColumn id="11" xr3:uid="{00000000-0010-0000-0000-00000B000000}" name="UCL" dataDxfId="74">
      <calculatedColumnFormula>VLOOKUP(Tabell1345[[#This Row],[Nr]],$BV$2:$CB$11,6,TRUE)</calculatedColumnFormula>
    </tableColumn>
    <tableColumn id="12" xr3:uid="{00000000-0010-0000-0000-00000C000000}" name="mR" dataDxfId="73">
      <calculatedColumnFormula>IF(OR(Tabell1345[[#This Row],[Brudd]]="*",ISERROR(Tabell1345[[#This Row],[Verdi_korrigert_IT]])),"",IF(ISNUMBER(OFFSET(Tabell1345[[#This Row],[ForrigeGyldige]],-1,0)),ABS(Tabell1345[[#This Row],[Verdi_korrigert_IT]]-OFFSET(Tabell1345[[#This Row],[ForrigeGyldige]],-1,0)),""))</calculatedColumnFormula>
    </tableColumn>
    <tableColumn id="15" xr3:uid="{00000000-0010-0000-0000-00000F000000}" name="Snitt1" dataDxfId="72">
      <calculatedColumnFormula>IF(VLOOKUP(Tabell1345[[#This Row],[Nr]],$BV$3:$CB$11,2,TRUE)=1,VLOOKUP(Tabell1345[[#This Row],[Nr]],$BV$3:$CB$11,4,TRUE),NA())</calculatedColumnFormula>
    </tableColumn>
    <tableColumn id="13" xr3:uid="{00000000-0010-0000-0000-00000D000000}" name="Snitt2" dataDxfId="71">
      <calculatedColumnFormula>IF(VLOOKUP(Tabell1345[[#This Row],[Nr]],$BV$3:$CB$11,2,TRUE)=2,VLOOKUP(Tabell1345[[#This Row],[Nr]],$BV$3:$CB$11,4,TRUE),NA())</calculatedColumnFormula>
    </tableColumn>
    <tableColumn id="8" xr3:uid="{00000000-0010-0000-0000-000008000000}" name="Snitt3" dataDxfId="70">
      <calculatedColumnFormula>IF(VLOOKUP(Tabell1345[[#This Row],[Nr]],$BV$3:$CB$11,2,TRUE)=3,VLOOKUP(Tabell1345[[#This Row],[Nr]],$BV$3:$CB$11,4,TRUE),NA())</calculatedColumnFormula>
    </tableColumn>
    <tableColumn id="7" xr3:uid="{00000000-0010-0000-0000-000007000000}" name="Snitt4" dataDxfId="69">
      <calculatedColumnFormula>IF(VLOOKUP(Tabell1345[[#This Row],[Nr]],$BV$3:$CB$11,2,TRUE)=4,VLOOKUP(Tabell1345[[#This Row],[Nr]],$BV$3:$CB$11,4,TRUE),NA())</calculatedColumnFormula>
    </tableColumn>
    <tableColumn id="37" xr3:uid="{00000000-0010-0000-0000-000025000000}" name="Snitt5" dataDxfId="68">
      <calculatedColumnFormula>IF(VLOOKUP(Tabell1345[[#This Row],[Nr]],$BV$3:$CB$11,2,TRUE)=5,VLOOKUP(Tabell1345[[#This Row],[Nr]],$BV$3:$CB$11,4,TRUE),NA())</calculatedColumnFormula>
    </tableColumn>
    <tableColumn id="38" xr3:uid="{00000000-0010-0000-0000-000026000000}" name="Snitt6" dataDxfId="67">
      <calculatedColumnFormula>IF(VLOOKUP(Tabell1345[[#This Row],[Nr]],$BV$3:$CB$11,2,TRUE)=6,VLOOKUP(Tabell1345[[#This Row],[Nr]],$BV$3:$CB$11,4,TRUE),NA())</calculatedColumnFormula>
    </tableColumn>
    <tableColumn id="41" xr3:uid="{00000000-0010-0000-0000-000029000000}" name="Snitt7" dataDxfId="66">
      <calculatedColumnFormula>IF(VLOOKUP(Tabell1345[[#This Row],[Nr]],$BV$3:$CB$11,2,TRUE)=7,VLOOKUP(Tabell1345[[#This Row],[Nr]],$BV$3:$CB$11,4,TRUE),NA())</calculatedColumnFormula>
    </tableColumn>
    <tableColumn id="18" xr3:uid="{00000000-0010-0000-0000-000012000000}" name="UCL1" dataDxfId="65">
      <calculatedColumnFormula>IF(VLOOKUP(Tabell1345[[#This Row],[Nr]],$BV$3:$CB$11,2,TRUE)=1,VLOOKUP(Tabell1345[[#This Row],[Nr]],$BV$3:$CB$11,6,TRUE),NA())</calculatedColumnFormula>
    </tableColumn>
    <tableColumn id="19" xr3:uid="{00000000-0010-0000-0000-000013000000}" name="UCL2" dataDxfId="64">
      <calculatedColumnFormula>IF(VLOOKUP(Tabell1345[[#This Row],[Nr]],$BV$3:$CB$11,2,TRUE)=2,VLOOKUP(Tabell1345[[#This Row],[Nr]],$BV$3:$CB$11,6,TRUE),NA())</calculatedColumnFormula>
    </tableColumn>
    <tableColumn id="20" xr3:uid="{00000000-0010-0000-0000-000014000000}" name="UCL3" dataDxfId="63">
      <calculatedColumnFormula>IF(VLOOKUP(Tabell1345[[#This Row],[Nr]],$BV$3:$CB$11,2,TRUE)=3,VLOOKUP(Tabell1345[[#This Row],[Nr]],$BV$3:$CB$11,6,TRUE),NA())</calculatedColumnFormula>
    </tableColumn>
    <tableColumn id="21" xr3:uid="{00000000-0010-0000-0000-000015000000}" name="UCL4" dataDxfId="62">
      <calculatedColumnFormula>IF(VLOOKUP(Tabell1345[[#This Row],[Nr]],$BV$3:$CB$11,2,TRUE)=4,VLOOKUP(Tabell1345[[#This Row],[Nr]],$BV$3:$CB$11,6,TRUE),NA())</calculatedColumnFormula>
    </tableColumn>
    <tableColumn id="39" xr3:uid="{00000000-0010-0000-0000-000027000000}" name="UCL5" dataDxfId="61">
      <calculatedColumnFormula>IF(VLOOKUP(Tabell1345[[#This Row],[Nr]],$BV$3:$CB$11,2,TRUE)=5,VLOOKUP(Tabell1345[[#This Row],[Nr]],$BV$3:$CB$11,6,TRUE),NA())</calculatedColumnFormula>
    </tableColumn>
    <tableColumn id="40" xr3:uid="{00000000-0010-0000-0000-000028000000}" name="UCL6" dataDxfId="60">
      <calculatedColumnFormula>IF(VLOOKUP(Tabell1345[[#This Row],[Nr]],$BV$3:$CB$11,2,TRUE)=6,VLOOKUP(Tabell1345[[#This Row],[Nr]],$BV$3:$CB$11,6,TRUE),NA())</calculatedColumnFormula>
    </tableColumn>
    <tableColumn id="42" xr3:uid="{00000000-0010-0000-0000-00002A000000}" name="UCL7" dataDxfId="59">
      <calculatedColumnFormula>IF(VLOOKUP(Tabell1345[[#This Row],[Nr]],$BV$3:$CB$11,2,TRUE)=7,VLOOKUP(Tabell1345[[#This Row],[Nr]],$BV$3:$CB$11,6,TRUE),NA())</calculatedColumnFormula>
    </tableColumn>
    <tableColumn id="22" xr3:uid="{00000000-0010-0000-0000-000016000000}" name="LCL1" dataDxfId="58">
      <calculatedColumnFormula>IF(VLOOKUP(Tabell1345[[#This Row],[Nr]],$BV$3:$CB$11,2,TRUE)=1,VLOOKUP(Tabell1345[[#This Row],[Nr]],$BV$3:$CB$11,7,TRUE),NA())</calculatedColumnFormula>
    </tableColumn>
    <tableColumn id="23" xr3:uid="{00000000-0010-0000-0000-000017000000}" name="LCL2" dataDxfId="57">
      <calculatedColumnFormula>IF(VLOOKUP(Tabell1345[[#This Row],[Nr]],$BV$3:$CB$11,2,TRUE)=2,VLOOKUP(Tabell1345[[#This Row],[Nr]],$BV$3:$CB$11,7,TRUE),NA())</calculatedColumnFormula>
    </tableColumn>
    <tableColumn id="24" xr3:uid="{00000000-0010-0000-0000-000018000000}" name="LCL3" dataDxfId="56">
      <calculatedColumnFormula>IF(VLOOKUP(Tabell1345[[#This Row],[Nr]],$BV$3:$CB$11,2,TRUE)=3,VLOOKUP(Tabell1345[[#This Row],[Nr]],$BV$3:$CB$11,7,TRUE),NA())</calculatedColumnFormula>
    </tableColumn>
    <tableColumn id="25" xr3:uid="{00000000-0010-0000-0000-000019000000}" name="LCL4" dataDxfId="55">
      <calculatedColumnFormula>IF(VLOOKUP(Tabell1345[[#This Row],[Nr]],$BV$3:$CB$11,2,TRUE)=4,VLOOKUP(Tabell1345[[#This Row],[Nr]],$BV$3:$CB$11,7,TRUE),NA())</calculatedColumnFormula>
    </tableColumn>
    <tableColumn id="43" xr3:uid="{00000000-0010-0000-0000-00002B000000}" name="LCL5" dataDxfId="54">
      <calculatedColumnFormula>IF(VLOOKUP(Tabell1345[[#This Row],[Nr]],$BV$3:$CB$11,2,TRUE)=5,VLOOKUP(Tabell1345[[#This Row],[Nr]],$BV$3:$CB$11,7,TRUE),NA())</calculatedColumnFormula>
    </tableColumn>
    <tableColumn id="44" xr3:uid="{00000000-0010-0000-0000-00002C000000}" name="LCL6" dataDxfId="53">
      <calculatedColumnFormula>IF(VLOOKUP(Tabell1345[[#This Row],[Nr]],$BV$3:$CB$11,2,TRUE)=6,VLOOKUP(Tabell1345[[#This Row],[Nr]],$BV$3:$CB$11,7,TRUE),NA())</calculatedColumnFormula>
    </tableColumn>
    <tableColumn id="45" xr3:uid="{00000000-0010-0000-0000-00002D000000}" name="LCL7" dataDxfId="52">
      <calculatedColumnFormula>IF(VLOOKUP(Tabell1345[[#This Row],[Nr]],$BV$3:$CB$11,2,TRUE)=7,VLOOKUP(Tabell1345[[#This Row],[Nr]],$BV$3:$CB$11,7,TRUE),NA())</calculatedColumnFormula>
    </tableColumn>
    <tableColumn id="33" xr3:uid="{00000000-0010-0000-0000-000021000000}" name="Median1" dataDxfId="51">
      <calculatedColumnFormula>IF(VLOOKUP(Tabell1345[[#This Row],[Nr]],$BV$3:$CB$11,2,TRUE)=1,VLOOKUP(Tabell1345[[#This Row],[Nr]],$BV$3:$CB$11,5,TRUE),NA())</calculatedColumnFormula>
    </tableColumn>
    <tableColumn id="32" xr3:uid="{00000000-0010-0000-0000-000020000000}" name="Median2" dataDxfId="50">
      <calculatedColumnFormula>IF(VLOOKUP(Tabell1345[[#This Row],[Nr]],$BV$3:$CB$11,2,TRUE)=2,VLOOKUP(Tabell1345[[#This Row],[Nr]],$BV$3:$CB$11,5,TRUE),NA())</calculatedColumnFormula>
    </tableColumn>
    <tableColumn id="31" xr3:uid="{00000000-0010-0000-0000-00001F000000}" name="Median3" dataDxfId="49">
      <calculatedColumnFormula>IF(VLOOKUP(Tabell1345[[#This Row],[Nr]],$BV$3:$CB$11,2,TRUE)=3,VLOOKUP(Tabell1345[[#This Row],[Nr]],$BV$3:$CB$11,5,TRUE),NA())</calculatedColumnFormula>
    </tableColumn>
    <tableColumn id="14" xr3:uid="{00000000-0010-0000-0000-00000E000000}" name="Median4" dataDxfId="48">
      <calculatedColumnFormula>IF(VLOOKUP(Tabell1345[[#This Row],[Nr]],$BV$3:$CB$11,2,TRUE)=4,VLOOKUP(Tabell1345[[#This Row],[Nr]],$BV$3:$CB$11,5,TRUE),NA())</calculatedColumnFormula>
    </tableColumn>
    <tableColumn id="46" xr3:uid="{00000000-0010-0000-0000-00002E000000}" name="Median5" dataDxfId="47">
      <calculatedColumnFormula>IF(VLOOKUP(Tabell1345[[#This Row],[Nr]],$BV$3:$CB$11,2,TRUE)=5,VLOOKUP(Tabell1345[[#This Row],[Nr]],$BV$3:$CB$11,5,TRUE),NA())</calculatedColumnFormula>
    </tableColumn>
    <tableColumn id="47" xr3:uid="{00000000-0010-0000-0000-00002F000000}" name="Median6" dataDxfId="46">
      <calculatedColumnFormula>IF(VLOOKUP(Tabell1345[[#This Row],[Nr]],$BV$3:$CB$11,2,TRUE)=6,VLOOKUP(Tabell1345[[#This Row],[Nr]],$BV$3:$CB$11,5,TRUE),NA())</calculatedColumnFormula>
    </tableColumn>
    <tableColumn id="48" xr3:uid="{00000000-0010-0000-0000-000030000000}" name="Median7" dataDxfId="45">
      <calculatedColumnFormula>IF(VLOOKUP(Tabell1345[[#This Row],[Nr]],$BV$3:$CB$11,2,TRUE)=7,VLOOKUP(Tabell1345[[#This Row],[Nr]],$BV$3:$CB$11,5,TRUE),NA())</calculatedColumnFormula>
    </tableColumn>
    <tableColumn id="26" xr3:uid="{00000000-0010-0000-0000-00001A000000}" name="Verdi1" dataDxfId="44">
      <calculatedColumnFormula>IF(VLOOKUP(Tabell1345[[#This Row],[Nr]],$BV$3:$CB$11,2,TRUE)=1,Tabell1345[[#This Row],[Verdi_korrigert_IT]],NA())</calculatedColumnFormula>
    </tableColumn>
    <tableColumn id="27" xr3:uid="{00000000-0010-0000-0000-00001B000000}" name="Verdi2" dataDxfId="43">
      <calculatedColumnFormula>IF(VLOOKUP(Tabell1345[[#This Row],[Nr]],$BV$3:$CB$11,2,TRUE)=2,Tabell1345[[#This Row],[Verdi_korrigert_IT]],NA())</calculatedColumnFormula>
    </tableColumn>
    <tableColumn id="28" xr3:uid="{00000000-0010-0000-0000-00001C000000}" name="Verdi3" dataDxfId="42">
      <calculatedColumnFormula>IF(VLOOKUP(Tabell1345[[#This Row],[Nr]],$BV$3:$CB$11,2,TRUE)=3,Tabell1345[[#This Row],[Verdi_korrigert_IT]],NA())</calculatedColumnFormula>
    </tableColumn>
    <tableColumn id="29" xr3:uid="{00000000-0010-0000-0000-00001D000000}" name="Verdi4" dataDxfId="41">
      <calculatedColumnFormula>IF(VLOOKUP(Tabell1345[[#This Row],[Nr]],$BV$3:$CB$11,2,TRUE)=4,Tabell1345[[#This Row],[Verdi_korrigert_IT]],NA())</calculatedColumnFormula>
    </tableColumn>
    <tableColumn id="49" xr3:uid="{00000000-0010-0000-0000-000031000000}" name="Verdi5" dataDxfId="40">
      <calculatedColumnFormula>IF(VLOOKUP(Tabell1345[[#This Row],[Nr]],$BV$3:$CB$11,2,TRUE)=5,Tabell1345[[#This Row],[Verdi_korrigert_IT]],NA())</calculatedColumnFormula>
    </tableColumn>
    <tableColumn id="50" xr3:uid="{00000000-0010-0000-0000-000032000000}" name="Verdi6" dataDxfId="39">
      <calculatedColumnFormula>IF(VLOOKUP(Tabell1345[[#This Row],[Nr]],$BV$3:$CB$11,2,TRUE)=6,Tabell1345[[#This Row],[Verdi_korrigert_IT]],NA())</calculatedColumnFormula>
    </tableColumn>
    <tableColumn id="51" xr3:uid="{00000000-0010-0000-0000-000033000000}" name="Verdi7" dataDxfId="38">
      <calculatedColumnFormula>IF(VLOOKUP(Tabell1345[[#This Row],[Nr]],$BV$3:$CB$11,2,TRUE)=7,Tabell1345[[#This Row],[Verdi_korrigert_IT]],NA())</calculatedColumnFormula>
    </tableColumn>
    <tableColumn id="52" xr3:uid="{00000000-0010-0000-0000-000034000000}" name="ser_indeks" dataDxfId="37">
      <calculatedColumnFormula>IF(Tabell1345[[#This Row],[Brudd]]&lt;&gt;"*",IF(ISNUMBER(OFFSET(Tabell1345[[#This Row],[ser_indeks]],-1,0)),OFFSET(Tabell1345[[#This Row],[ser_indeks]],-1,0),0),0)+1</calculatedColumnFormula>
    </tableColumn>
    <tableColumn id="62" xr3:uid="{00000000-0010-0000-0000-00003E000000}" name="serie_nr" dataDxfId="36">
      <calculatedColumnFormula>VLOOKUP(Tabell1345[[#This Row],[Nr]],$BV$2:$BW$9,2,TRUE)</calculatedColumnFormula>
    </tableColumn>
    <tableColumn id="69" xr3:uid="{00000000-0010-0000-0000-000045000000}" name="til_brudd_rader" dataDxfId="35">
      <calculatedColumnFormula>IF(OFFSET(Tabell1345[[#This Row],[ser_indeks]],1,0)&lt;Tabell1345[[#This Row],[ser_indeks]],1,0)</calculatedColumnFormula>
    </tableColumn>
    <tableColumn id="54" xr3:uid="{00000000-0010-0000-0000-000036000000}" name="verdi_korrigert" dataDxfId="34">
      <calculatedColumnFormula>IFERROR(VALUE(Tabell1345[[#This Row],[Verdi_korrigert_IT]]),OFFSET(Tabell1345[[#This Row],[verdi_korrigert]],-1,0))</calculatedColumnFormula>
    </tableColumn>
    <tableColumn id="53" xr3:uid="{00000000-0010-0000-0000-000035000000}" name="rang" dataDxfId="33">
      <calculatedColumnFormula>_xlfn.RANK.AVG(Tabell1345[[#This Row],[verdi_korrigert]],Tabell1345[verdi_korrigert],1)</calculatedColumnFormula>
    </tableColumn>
    <tableColumn id="58" xr3:uid="{00000000-0010-0000-0000-00003A000000}" name="rang_samme" dataDxfId="32">
      <calculatedColumnFormula>IF(Tabell1345[[#This Row],[rang]]=OFFSET(Tabell1345[[#This Row],[rang]],1,0),1,0)</calculatedColumnFormula>
    </tableColumn>
    <tableColumn id="55" xr3:uid="{00000000-0010-0000-0000-000037000000}" name="rang_stig" dataDxfId="31">
      <calculatedColumnFormula>IF(AND(Tabell1345[[#This Row],[rang]]&gt;=OFFSET(Tabell1345[[#This Row],[rang]],-1,0),Tabell1345[[#This Row],[ser_indeks]]&gt;1),IFERROR(VALUE(OFFSET(Tabell1345[[#This Row],[rang_stig]],-1,0)),0)+1,VALUE($CH$3)-1)-Tabell1345[[#This Row],[rang_samme]]</calculatedColumnFormula>
    </tableColumn>
    <tableColumn id="56" xr3:uid="{00000000-0010-0000-0000-000038000000}" name="rang_synk" dataDxfId="30">
      <calculatedColumnFormula>IF(AND(Tabell1345[[#This Row],[rang]]&lt;=OFFSET(Tabell1345[[#This Row],[rang]],-1,0),Tabell1345[[#This Row],[ser_indeks]]&gt;1),IFERROR(VALUE(OFFSET(Tabell1345[[#This Row],[rang_synk]],-1,0)),0)+1,VALUE($CH$3)-1)-Tabell1345[[#This Row],[rang_samme]]</calculatedColumnFormula>
    </tableColumn>
    <tableColumn id="60" xr3:uid="{00000000-0010-0000-0000-00003C000000}" name="rang_stigsynk" dataDxfId="29">
      <calculatedColumnFormula>MAXA(Tabell1345[[#This Row],[rang_stig]:[rang_synk]])</calculatedColumnFormula>
    </tableColumn>
    <tableColumn id="65" xr3:uid="{00000000-0010-0000-0000-000041000000}" name="trend_omr" dataDxfId="28">
      <calculatedColumnFormula>($CH$2-1)+_xlfn.AGGREGATE(9,6,Tabell1345[[#This Row],[rang_samme]]:OFFSET(Tabell1345[[#This Row],[rang_samme]],($CH$2-1),0))</calculatedColumnFormula>
    </tableColumn>
    <tableColumn id="57" xr3:uid="{00000000-0010-0000-0000-000039000000}" name="Test 3: trend" dataDxfId="27">
      <calculatedColumnFormula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calculatedColumnFormula>
    </tableColumn>
    <tableColumn id="64" xr3:uid="{00000000-0010-0000-0000-000040000000}" name="skifte_lav1" dataDxfId="26">
      <calculatedColumnFormula>IF(Tabell1345[[#This Row],[ser_indeks]]&gt;3,_xlfn.AGGREGATE(4,4,OFFSET(Tabell1345[[#This Row],[Verdi1]],-3,Tabell1345[[#This Row],[serie_nr]]-1):OFFSET(Tabell1345[[#This Row],[Verdi1]],4,Tabell1345[[#This Row],[serie_nr]]-1)),NA())</calculatedColumnFormula>
    </tableColumn>
    <tableColumn id="67" xr3:uid="{00000000-0010-0000-0000-000043000000}" name="skifte_høy1" dataDxfId="25">
      <calculatedColumnFormula>IF(Tabell1345[[#This Row],[ser_indeks]]&gt;3,_xlfn.AGGREGATE(5,4,OFFSET(Tabell1345[[#This Row],[Verdi1]],-3,Tabell1345[[#This Row],[serie_nr]]-1):OFFSET(Tabell1345[[#This Row],[Verdi1]],4,Tabell1345[[#This Row],[serie_nr]]-1)),NA())</calculatedColumnFormula>
    </tableColumn>
    <tableColumn id="70" xr3:uid="{00000000-0010-0000-0000-000046000000}" name="skifte_lav2" dataDxfId="24">
      <calculatedColumnFormula>IF(_xlfn.AGGREGATE(4,6,Tabell1345[[#This Row],[til_brudd_rader]]:OFFSET(Tabell1345[[#This Row],[til_brudd_rader]],3,0))&gt;0,NA(),IF(Tabell1345[[#This Row],[skifte_lav1]]&lt;Tabell1345[[#This Row],[Snitt]],Tabell1345[[#This Row],[Verdi_korrigert_IT]],NA()))</calculatedColumnFormula>
    </tableColumn>
    <tableColumn id="68" xr3:uid="{00000000-0010-0000-0000-000044000000}" name="skifte_høy2" dataDxfId="23">
      <calculatedColumnFormula>IF(_xlfn.AGGREGATE(4,6,Tabell1345[[#This Row],[til_brudd_rader]]:OFFSET(Tabell1345[[#This Row],[til_brudd_rader]],3,0))&gt;0,NA(),IF(Tabell1345[[#This Row],[skifte_høy1]]&gt;Tabell1345[[#This Row],[Snitt]],Tabell1345[[#This Row],[Verdi_korrigert_IT]],NA()))</calculatedColumnFormula>
    </tableColumn>
    <tableColumn id="59" xr3:uid="{00000000-0010-0000-0000-00003B000000}" name="Test 2: skifte" dataDxfId="22">
      <calculatedColumnFormula>IF($G$9="ja",IFERROR(IF(_xlfn.AGGREGATE(4,6,OFFSET(Tabell1345[[#This Row],[skifte_lav2]],-4,0):OFFSET(Tabell1345[[#This Row],[skifte_lav2]],3,1))&gt;0,Tabell1345[[#This Row],[Verdi_korrigert_IT]],NA()),NA()),NA())</calculatedColumnFormula>
    </tableColumn>
    <tableColumn id="61" xr3:uid="{00000000-0010-0000-0000-00003D000000}" name="Test1: punkt utenfor kontrollgrense" dataDxfId="21">
      <calculatedColumnFormula>IF($G$9="ja",IF(OR(Tabell1345[[#This Row],[Verdi_korrigert_IT]]&gt;Tabell1345[[#This Row],[UCL]],Tabell1345[[#This Row],[Verdi_korrigert_IT]]&lt;Tabell1345[[#This Row],[LCL]]),Tabell1345[[#This Row],[Verdi_korrigert_IT]],NA()),NA())</calculatedColumnFormula>
    </tableColumn>
    <tableColumn id="66" xr3:uid="{C9D0ADB7-E2AB-451A-8B26-FC1DD7F644CD}" name="Verdi_korrigert_blank" dataDxfId="20">
      <calculatedColumnFormula>IF(Tabell1345[[#This Row],[Brudd]]="x","",Tabell1345[[#This Row],[Verdi]])</calculatedColumnFormula>
    </tableColumn>
    <tableColumn id="71" xr3:uid="{D616CEDC-5CFB-4A98-A25B-598CCFB69361}" name="Verdi_korrigert_IT" dataDxfId="19">
      <calculatedColumnFormula>IF(Tabell1345[[#This Row],[Brudd]]="x",NA(),Tabell1345[[#This Row],[Verdi]])</calculatedColumnFormula>
    </tableColumn>
    <tableColumn id="16" xr3:uid="{8D174E9A-9A0F-4059-831F-45B353FF4921}" name="ForrigeGyldige" dataDxfId="18">
      <calculatedColumnFormula>IF(ISERROR(Tabell1345[[#This Row],[Verdi_korrigert_IT]]),OFFSET(Tabell1345[[#This Row],[ForrigeGyldige]],-1,0),Tabell1345[[#This Row],[Verdi]])</calculatedColumnFormula>
    </tableColumn>
    <tableColumn id="63" xr3:uid="{26088311-7A7B-4EE6-B22A-48B8B53CDB7A}" name="EkslGraf" dataDxfId="17">
      <calculatedColumnFormula>Tabell1345[[#This Row],[Verdi]]</calculatedColumnFormula>
    </tableColumn>
    <tableColumn id="17" xr3:uid="{668A7404-9FAD-4BD2-BA83-ED158A824545}" name="VisKommentar" dataDxfId="16"/>
    <tableColumn id="34" xr3:uid="{00000000-0010-0000-0000-000022000000}" name="Kommentar4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1" displayName="Tabell1" ref="A14:L35" totalsRowShown="0">
  <autoFilter ref="A14:L35" xr:uid="{00000000-0009-0000-0100-000001000000}"/>
  <tableColumns count="12">
    <tableColumn id="1" xr3:uid="{00000000-0010-0000-0100-000001000000}" name="Nr">
      <calculatedColumnFormula>IF(ISNUMBER(OFFSET(Tabell1[[#This Row],[Nr]],-1,0)),OFFSET(Tabell1[[#This Row],[Nr]],-1,0))+1</calculatedColumnFormula>
    </tableColumn>
    <tableColumn id="2" xr3:uid="{00000000-0010-0000-0100-000002000000}" name="Dato"/>
    <tableColumn id="3" xr3:uid="{00000000-0010-0000-0100-000003000000}" name="Verdi1" dataDxfId="14"/>
    <tableColumn id="4" xr3:uid="{00000000-0010-0000-0100-000004000000}" name="Verdi2" dataDxfId="13"/>
    <tableColumn id="5" xr3:uid="{00000000-0010-0000-0100-000005000000}" name="Verdi3" dataDxfId="12"/>
    <tableColumn id="6" xr3:uid="{00000000-0010-0000-0100-000006000000}" name="Verdi4" dataDxfId="11"/>
    <tableColumn id="7" xr3:uid="{00000000-0010-0000-0100-000007000000}" name="Verdi5" dataDxfId="10"/>
    <tableColumn id="8" xr3:uid="{00000000-0010-0000-0100-000008000000}" name="Verdi6" dataDxfId="9"/>
    <tableColumn id="9" xr3:uid="{00000000-0010-0000-0100-000009000000}" name="Verdi7" dataDxfId="8"/>
    <tableColumn id="10" xr3:uid="{00000000-0010-0000-0100-00000A000000}" name="Totalskår" dataDxfId="7">
      <calculatedColumnFormula>Tabell1[[#This Row],[Verdi1]]*C$12+Tabell1[[#This Row],[Verdi2]]*D$12+Tabell1[[#This Row],[Verdi3]]*E$12+Tabell1[[#This Row],[Verdi4]]*F$12+Tabell1[[#This Row],[Verdi5]]*G$12+Tabell1[[#This Row],[Verdi6]]*H$12+Tabell1[[#This Row],[Verdi7]]*I$12</calculatedColumnFormula>
    </tableColumn>
    <tableColumn id="11" xr3:uid="{00000000-0010-0000-0100-00000B000000}" name="Totalskår prosent" dataDxfId="6" dataCellStyle="Komma">
      <calculatedColumnFormula>Tabell1[[#This Row],[Totalskår]]/K$12*100</calculatedColumnFormula>
    </tableColumn>
    <tableColumn id="12" xr3:uid="{00000000-0010-0000-0100-00000C000000}" name="Kommentar" dataDxfId="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2" displayName="Tabell2" ref="A3:B10" totalsRowShown="0">
  <autoFilter ref="A3:B10" xr:uid="{00000000-0009-0000-0100-000002000000}"/>
  <tableColumns count="2">
    <tableColumn id="1" xr3:uid="{00000000-0010-0000-0200-000001000000}" name="Kategori"/>
    <tableColumn id="2" xr3:uid="{00000000-0010-0000-0200-000002000000}" name="Sum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24" displayName="Tabell24" ref="A3:B10" totalsRowShown="0">
  <autoFilter ref="A3:B10" xr:uid="{00000000-0009-0000-0100-000003000000}"/>
  <tableColumns count="2">
    <tableColumn id="1" xr3:uid="{00000000-0010-0000-0300-000001000000}" name="Kategori"/>
    <tableColumn id="2" xr3:uid="{00000000-0010-0000-0300-000002000000}" name="Sum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5"/>
  <sheetViews>
    <sheetView showGridLines="0" tabSelected="1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7.1796875" customWidth="1"/>
    <col min="2" max="3" width="10.81640625" customWidth="1"/>
    <col min="4" max="4" width="9.81640625" customWidth="1"/>
    <col min="5" max="5" width="16.54296875" customWidth="1"/>
    <col min="6" max="6" width="16.7265625" customWidth="1"/>
    <col min="7" max="7" width="18.26953125" customWidth="1"/>
    <col min="8" max="8" width="8" hidden="1" customWidth="1"/>
    <col min="9" max="9" width="11.7265625" hidden="1" customWidth="1"/>
    <col min="10" max="15" width="11.54296875" hidden="1" customWidth="1"/>
    <col min="16" max="48" width="9.7265625" hidden="1" customWidth="1"/>
    <col min="49" max="51" width="10" hidden="1" customWidth="1"/>
    <col min="52" max="59" width="9.7265625" hidden="1" customWidth="1"/>
    <col min="60" max="63" width="9.7265625" style="5" hidden="1" customWidth="1"/>
    <col min="64" max="70" width="9.7265625" hidden="1" customWidth="1"/>
    <col min="71" max="71" width="18.1796875" customWidth="1"/>
    <col min="72" max="72" width="3.1796875" customWidth="1"/>
    <col min="73" max="73" width="10.7265625" customWidth="1"/>
    <col min="74" max="74" width="12.453125" customWidth="1"/>
    <col min="75" max="76" width="12.7265625" hidden="1" customWidth="1"/>
    <col min="77" max="77" width="13.7265625" customWidth="1"/>
    <col min="78" max="78" width="7.7265625" customWidth="1"/>
    <col min="79" max="79" width="8.7265625" customWidth="1"/>
    <col min="80" max="80" width="7.1796875" customWidth="1"/>
    <col min="81" max="82" width="8.54296875" hidden="1" customWidth="1"/>
    <col min="83" max="83" width="11.54296875" hidden="1" customWidth="1"/>
    <col min="84" max="84" width="25.81640625" customWidth="1"/>
    <col min="85" max="85" width="31.54296875" customWidth="1"/>
    <col min="86" max="86" width="6.7265625" customWidth="1"/>
    <col min="87" max="87" width="42.54296875" style="3" customWidth="1"/>
    <col min="88" max="93" width="11.54296875" style="3" hidden="1" customWidth="1"/>
    <col min="94" max="99" width="11.54296875" customWidth="1"/>
  </cols>
  <sheetData>
    <row r="1" spans="1:93" ht="36" customHeight="1" x14ac:dyDescent="0.35"/>
    <row r="2" spans="1:93" s="6" customFormat="1" ht="25.9" customHeight="1" x14ac:dyDescent="0.35">
      <c r="BH2" s="7"/>
      <c r="BI2" s="7"/>
      <c r="BJ2" s="7"/>
      <c r="BK2" s="7"/>
      <c r="BU2" s="17" t="s">
        <v>0</v>
      </c>
      <c r="BV2" s="18" t="s">
        <v>1</v>
      </c>
      <c r="BW2" s="18" t="s">
        <v>2</v>
      </c>
      <c r="BX2" s="18" t="s">
        <v>3</v>
      </c>
      <c r="BY2" s="14" t="s">
        <v>4</v>
      </c>
      <c r="BZ2" s="14" t="s">
        <v>5</v>
      </c>
      <c r="CA2" s="14" t="s">
        <v>6</v>
      </c>
      <c r="CB2" s="14" t="s">
        <v>7</v>
      </c>
      <c r="CC2" s="19" t="s">
        <v>8</v>
      </c>
      <c r="CD2" s="19" t="s">
        <v>9</v>
      </c>
      <c r="CE2" s="6" t="s">
        <v>10</v>
      </c>
      <c r="CG2" s="16" t="s">
        <v>11</v>
      </c>
      <c r="CH2" s="12">
        <v>6</v>
      </c>
      <c r="CI2" s="8"/>
      <c r="CJ2" s="8"/>
      <c r="CK2" s="8"/>
      <c r="CL2" s="8"/>
      <c r="CM2" s="8"/>
      <c r="CN2" s="8"/>
      <c r="CO2" s="8"/>
    </row>
    <row r="3" spans="1:93" s="6" customFormat="1" ht="12.65" customHeight="1" x14ac:dyDescent="0.35">
      <c r="BH3" s="7"/>
      <c r="BI3" s="7"/>
      <c r="BJ3" s="7"/>
      <c r="BK3" s="7"/>
      <c r="BU3" s="20" t="s">
        <v>12</v>
      </c>
      <c r="BV3" s="6">
        <f t="shared" ref="BV3:BV11" ca="1" si="0">IFERROR(IF(CD4&lt;&gt;"",INDIRECT(ADDRESS(CD3,1)),""),"")</f>
        <v>1</v>
      </c>
      <c r="BW3" s="6">
        <v>1</v>
      </c>
      <c r="BX3" s="6">
        <f ca="1">IF(BV4&lt;&gt;"",BV4,ROW(Tabell1345[#All])+ROWS(Tabell1345[#All]))</f>
        <v>16</v>
      </c>
      <c r="BY3" s="21">
        <f ca="1">IFERROR(AVERAGE(INDIRECT(ADDRESS(CD3,66)):INDIRECT(ADDRESS(CD4+CE3,66))),IF(BV3&lt;&gt;"",BY2,""))</f>
        <v>0</v>
      </c>
      <c r="BZ3" s="21">
        <f ca="1">IFERROR(MEDIAN(INDIRECT(ADDRESS(CD3,66)):INDIRECT(ADDRESS(CD4+CE3,66))),IF(BV3&lt;&gt;"",BZ2,""))</f>
        <v>0</v>
      </c>
      <c r="CA3" s="21" t="str">
        <f t="shared" ref="CA3:CA10" ca="1" si="1">IFERROR(BY3+2.66*CC3,IF(BV3&lt;&gt;"",CA2,""))</f>
        <v>UCL</v>
      </c>
      <c r="CB3" s="22" t="str">
        <f t="shared" ref="CB3:CB10" ca="1" si="2">IFERROR(BY3-2.66*CC3,IF(BV3&lt;&gt;"",CB2,""))</f>
        <v>LCL</v>
      </c>
      <c r="CC3" s="21" t="str">
        <f ca="1">IFERROR(AVERAGE(INDIRECT(ADDRESS(CD3,13)):INDIRECT(ADDRESS(CD4+CE3,13))),"")</f>
        <v/>
      </c>
      <c r="CD3" s="6">
        <f>ROW(Tabell1345[#All])+1</f>
        <v>15</v>
      </c>
      <c r="CE3" s="6">
        <f>IFERROR(IF(CD4+1=(ROW(Tabell1345[#All])+ROWS(Tabell1345[#All])),0,-1),"")</f>
        <v>0</v>
      </c>
      <c r="CG3" s="16" t="s">
        <v>13</v>
      </c>
      <c r="CH3" s="12">
        <v>1</v>
      </c>
      <c r="CI3" s="8"/>
      <c r="CJ3" s="8" t="s">
        <v>12</v>
      </c>
      <c r="CK3" s="8">
        <v>1</v>
      </c>
      <c r="CL3" s="8"/>
      <c r="CM3" s="8" t="e">
        <f ca="1">BY2&amp;" " &amp; BW3&amp;": "&amp; ROUND(BY3,$G$4) &amp; ", " &amp; $CA$2 &amp; " " &amp; ROUND(CA3,$G$4) &amp;", " &amp;  $CB$2 &amp; " " &amp; ROUND(CB3,$G$4)</f>
        <v>#VALUE!</v>
      </c>
      <c r="CN3" s="8" t="str">
        <f ca="1">BZ2&amp;" " &amp; BW3&amp;": "&amp; ROUND(BZ3,$G$4)</f>
        <v>Median 1: 0</v>
      </c>
      <c r="CO3" s="8"/>
    </row>
    <row r="4" spans="1:93" s="6" customFormat="1" ht="21" customHeight="1" x14ac:dyDescent="0.6">
      <c r="A4" s="15" t="s">
        <v>14</v>
      </c>
      <c r="F4" s="9" t="s">
        <v>15</v>
      </c>
      <c r="G4" s="12">
        <v>2</v>
      </c>
      <c r="BH4" s="7"/>
      <c r="BI4" s="7"/>
      <c r="BJ4" s="7"/>
      <c r="BK4" s="7"/>
      <c r="BU4" s="20" t="s">
        <v>16</v>
      </c>
      <c r="BV4" s="6" t="str">
        <f t="shared" ca="1" si="0"/>
        <v/>
      </c>
      <c r="BW4" s="6">
        <v>2</v>
      </c>
      <c r="BX4" s="6">
        <f ca="1">IF(BV5&lt;&gt;"",BV5,ROW(Tabell1345[#All])+ROWS(Tabell1345[#All]))</f>
        <v>16</v>
      </c>
      <c r="BY4" s="21" t="str">
        <f ca="1">IFERROR(AVERAGE(INDIRECT(ADDRESS(CD4,66)):INDIRECT(ADDRESS(CD5+CE4,66))),IF(BV4&lt;&gt;"",BY3,""))</f>
        <v/>
      </c>
      <c r="BZ4" s="21" t="str">
        <f ca="1">IFERROR(MEDIAN(INDIRECT(ADDRESS(CD4,66)):INDIRECT(ADDRESS(CD5+CE4,66))),IF(BV4&lt;&gt;"",BZ3,""))</f>
        <v/>
      </c>
      <c r="CA4" s="21" t="str">
        <f t="shared" ca="1" si="1"/>
        <v/>
      </c>
      <c r="CB4" s="22" t="str">
        <f t="shared" ca="1" si="2"/>
        <v/>
      </c>
      <c r="CC4" s="21" t="str">
        <f ca="1">IFERROR(AVERAGE(INDIRECT(ADDRESS(CD4,13)):INDIRECT(ADDRESS(CD5+CE4,13))),"")</f>
        <v/>
      </c>
      <c r="CD4" s="6">
        <f>IFERROR(SMALL(Tabell1345[[BruddKode ]],CK4-1),"")</f>
        <v>15</v>
      </c>
      <c r="CE4" s="6" t="str">
        <f>IFERROR(IF(CD5+1=(ROW(Tabell1345[#All])+ROWS(Tabell1345[#All])),0,-1),"")</f>
        <v/>
      </c>
      <c r="CI4" s="8"/>
      <c r="CJ4" s="8" t="s">
        <v>16</v>
      </c>
      <c r="CK4" s="8">
        <v>2</v>
      </c>
      <c r="CL4" s="8"/>
      <c r="CM4" s="8" t="str">
        <f t="shared" ref="CM4:CM9" ca="1" si="3">IF(BV4&lt;&gt;"","    |    "&amp;$BY$2&amp;" " &amp; BW4&amp;": "&amp; ROUND(BY4,$G$4) &amp; ", " &amp; $CA$2 &amp; " " &amp; ROUND(CA4,$G$4) &amp;", " &amp;  $CB$2 &amp; " " &amp; ROUND(CB4,$G$4),"")</f>
        <v/>
      </c>
      <c r="CN4" s="8" t="str">
        <f t="shared" ref="CN4:CN9" ca="1" si="4">IF(BV4&lt;&gt;"","    |    "&amp;$BZ$2&amp;" " &amp; BW4&amp;": "&amp; ROUND(BZ4,$G$4) &amp; " ","")</f>
        <v/>
      </c>
      <c r="CO4" s="8"/>
    </row>
    <row r="5" spans="1:93" s="6" customFormat="1" ht="12.65" customHeight="1" x14ac:dyDescent="0.35">
      <c r="F5" s="9" t="s">
        <v>17</v>
      </c>
      <c r="G5" s="12" t="s">
        <v>18</v>
      </c>
      <c r="BH5" s="7"/>
      <c r="BI5" s="7"/>
      <c r="BJ5" s="7"/>
      <c r="BK5" s="7"/>
      <c r="BU5" s="20" t="s">
        <v>19</v>
      </c>
      <c r="BV5" s="6" t="str">
        <f t="shared" ca="1" si="0"/>
        <v/>
      </c>
      <c r="BW5" s="6">
        <v>3</v>
      </c>
      <c r="BX5" s="6">
        <f ca="1">IF(BV6&lt;&gt;"",BV6,ROW(Tabell1345[#All])+ROWS(Tabell1345[#All]))</f>
        <v>16</v>
      </c>
      <c r="BY5" s="21" t="str">
        <f ca="1">IFERROR(AVERAGE(INDIRECT(ADDRESS(CD5,66)):INDIRECT(ADDRESS(CD6+CE5,66))),IF(BV5&lt;&gt;"",BY4,""))</f>
        <v/>
      </c>
      <c r="BZ5" s="21" t="str">
        <f ca="1">IFERROR(MEDIAN(INDIRECT(ADDRESS(CD5,66)):INDIRECT(ADDRESS(CD6+CE5,66))),IF(BV5&lt;&gt;"",BZ4,""))</f>
        <v/>
      </c>
      <c r="CA5" s="21" t="str">
        <f t="shared" ca="1" si="1"/>
        <v/>
      </c>
      <c r="CB5" s="22" t="str">
        <f t="shared" ca="1" si="2"/>
        <v/>
      </c>
      <c r="CC5" s="21" t="str">
        <f ca="1">IFERROR(AVERAGE(INDIRECT(ADDRESS(CD5,13)):INDIRECT(ADDRESS(CD6+CE5,13))),"")</f>
        <v/>
      </c>
      <c r="CD5" s="6" t="str">
        <f>IFERROR(SMALL(Tabell1345[[BruddKode ]],CK5-1),"")</f>
        <v/>
      </c>
      <c r="CE5" s="6" t="str">
        <f>IFERROR(IF(CD6+1=(ROW(Tabell1345[#All])+ROWS(Tabell1345[#All])),0,-1),"")</f>
        <v/>
      </c>
      <c r="CI5" s="8"/>
      <c r="CJ5" s="8" t="s">
        <v>19</v>
      </c>
      <c r="CK5" s="8">
        <v>3</v>
      </c>
      <c r="CL5" s="8"/>
      <c r="CM5" s="8" t="str">
        <f t="shared" ca="1" si="3"/>
        <v/>
      </c>
      <c r="CN5" s="8" t="str">
        <f t="shared" ca="1" si="4"/>
        <v/>
      </c>
      <c r="CO5" s="8"/>
    </row>
    <row r="6" spans="1:93" s="6" customFormat="1" ht="12.65" customHeight="1" x14ac:dyDescent="0.35">
      <c r="A6" s="13" t="s">
        <v>20</v>
      </c>
      <c r="B6" s="11"/>
      <c r="F6" s="9" t="s">
        <v>21</v>
      </c>
      <c r="G6" s="12" t="s">
        <v>22</v>
      </c>
      <c r="BH6" s="7"/>
      <c r="BI6" s="7"/>
      <c r="BJ6" s="7"/>
      <c r="BK6" s="7"/>
      <c r="BU6" s="20" t="s">
        <v>23</v>
      </c>
      <c r="BV6" s="6" t="str">
        <f t="shared" ca="1" si="0"/>
        <v/>
      </c>
      <c r="BW6" s="6">
        <v>4</v>
      </c>
      <c r="BX6" s="6">
        <f ca="1">IF(BV7&lt;&gt;"",BV7,ROW(Tabell1345[#All])+ROWS(Tabell1345[#All]))</f>
        <v>16</v>
      </c>
      <c r="BY6" s="21" t="str">
        <f ca="1">IFERROR(AVERAGE(INDIRECT(ADDRESS(CD6,66)):INDIRECT(ADDRESS(CD7+CE6,66))),IF(BV6&lt;&gt;"",BY5,""))</f>
        <v/>
      </c>
      <c r="BZ6" s="21" t="str">
        <f ca="1">IFERROR(MEDIAN(INDIRECT(ADDRESS(CD6,66)):INDIRECT(ADDRESS(CD7+CE6,66))),IF(BV6&lt;&gt;"",BZ5,""))</f>
        <v/>
      </c>
      <c r="CA6" s="21" t="str">
        <f t="shared" ca="1" si="1"/>
        <v/>
      </c>
      <c r="CB6" s="22" t="str">
        <f t="shared" ca="1" si="2"/>
        <v/>
      </c>
      <c r="CC6" s="21" t="str">
        <f ca="1">IFERROR(AVERAGE(INDIRECT(ADDRESS(CD6,13)):INDIRECT(ADDRESS(CD7+CE6,13))),"")</f>
        <v/>
      </c>
      <c r="CD6" s="6" t="str">
        <f>IFERROR(SMALL(Tabell1345[[BruddKode ]],CK6-1),"")</f>
        <v/>
      </c>
      <c r="CE6" s="6" t="str">
        <f>IFERROR(IF(CD7+1=(ROW(Tabell1345[#All])+ROWS(Tabell1345[#All])),0,-1),"")</f>
        <v/>
      </c>
      <c r="CI6" s="8"/>
      <c r="CJ6" s="8" t="s">
        <v>23</v>
      </c>
      <c r="CK6" s="8">
        <v>4</v>
      </c>
      <c r="CL6" s="8"/>
      <c r="CM6" s="8" t="str">
        <f t="shared" ca="1" si="3"/>
        <v/>
      </c>
      <c r="CN6" s="8" t="str">
        <f t="shared" ca="1" si="4"/>
        <v/>
      </c>
      <c r="CO6" s="8"/>
    </row>
    <row r="7" spans="1:93" s="6" customFormat="1" ht="12.65" customHeight="1" x14ac:dyDescent="0.35">
      <c r="F7" s="9" t="s">
        <v>24</v>
      </c>
      <c r="G7" s="12"/>
      <c r="BH7" s="7"/>
      <c r="BI7" s="7"/>
      <c r="BJ7" s="7"/>
      <c r="BK7" s="7"/>
      <c r="BU7" s="20" t="s">
        <v>25</v>
      </c>
      <c r="BV7" s="6" t="str">
        <f t="shared" ca="1" si="0"/>
        <v/>
      </c>
      <c r="BW7" s="6">
        <v>5</v>
      </c>
      <c r="BX7" s="6">
        <f ca="1">IF(BV8&lt;&gt;"",BV8,ROW(Tabell1345[#All])+ROWS(Tabell1345[#All]))</f>
        <v>16</v>
      </c>
      <c r="BY7" s="21" t="str">
        <f ca="1">IFERROR(AVERAGE(INDIRECT(ADDRESS(CD7,66)):INDIRECT(ADDRESS(CD8+CE7,66))),IF(BV7&lt;&gt;"",BY6,""))</f>
        <v/>
      </c>
      <c r="BZ7" s="21" t="str">
        <f ca="1">IFERROR(MEDIAN(INDIRECT(ADDRESS(CD7,66)):INDIRECT(ADDRESS(CD8+CE7,66))),IF(BV7&lt;&gt;"",BZ6,""))</f>
        <v/>
      </c>
      <c r="CA7" s="21" t="str">
        <f t="shared" ca="1" si="1"/>
        <v/>
      </c>
      <c r="CB7" s="22" t="str">
        <f t="shared" ca="1" si="2"/>
        <v/>
      </c>
      <c r="CC7" s="21" t="str">
        <f ca="1">IFERROR(AVERAGE(INDIRECT(ADDRESS(CD7,13)):INDIRECT(ADDRESS(CD8+CE7,13))),"")</f>
        <v/>
      </c>
      <c r="CD7" s="6" t="str">
        <f>IFERROR(SMALL(Tabell1345[[BruddKode ]],CK7-1),"")</f>
        <v/>
      </c>
      <c r="CE7" s="6" t="str">
        <f>IFERROR(IF(CD8+1=(ROW(Tabell1345[#All])+ROWS(Tabell1345[#All])),0,-1),"")</f>
        <v/>
      </c>
      <c r="CI7" s="8"/>
      <c r="CJ7" s="8" t="s">
        <v>25</v>
      </c>
      <c r="CK7" s="8">
        <v>5</v>
      </c>
      <c r="CL7" s="8"/>
      <c r="CM7" s="8" t="str">
        <f t="shared" ca="1" si="3"/>
        <v/>
      </c>
      <c r="CN7" s="8" t="str">
        <f t="shared" ca="1" si="4"/>
        <v/>
      </c>
      <c r="CO7" s="8"/>
    </row>
    <row r="8" spans="1:93" s="6" customFormat="1" ht="12.65" customHeight="1" x14ac:dyDescent="0.35">
      <c r="F8" s="10" t="s">
        <v>26</v>
      </c>
      <c r="G8" s="12"/>
      <c r="BH8" s="7"/>
      <c r="BI8" s="7"/>
      <c r="BJ8" s="7"/>
      <c r="BK8" s="7"/>
      <c r="BU8" s="20" t="s">
        <v>27</v>
      </c>
      <c r="BV8" s="6" t="str">
        <f t="shared" ca="1" si="0"/>
        <v/>
      </c>
      <c r="BW8" s="6">
        <v>6</v>
      </c>
      <c r="BX8" s="6">
        <f ca="1">IF(BV9&lt;&gt;"",BV9,ROW(Tabell1345[#All])+ROWS(Tabell1345[#All]))</f>
        <v>16</v>
      </c>
      <c r="BY8" s="21" t="str">
        <f ca="1">IFERROR(AVERAGE(INDIRECT(ADDRESS(CD8,66)):INDIRECT(ADDRESS(CD9+CE8,66))),IF(BV8&lt;&gt;"",BY7,""))</f>
        <v/>
      </c>
      <c r="BZ8" s="21" t="str">
        <f ca="1">IFERROR(MEDIAN(INDIRECT(ADDRESS(CD8,66)):INDIRECT(ADDRESS(CD9+CE8,66))),IF(BV8&lt;&gt;"",BZ7,""))</f>
        <v/>
      </c>
      <c r="CA8" s="21" t="str">
        <f t="shared" ca="1" si="1"/>
        <v/>
      </c>
      <c r="CB8" s="22" t="str">
        <f t="shared" ca="1" si="2"/>
        <v/>
      </c>
      <c r="CC8" s="21" t="str">
        <f ca="1">IFERROR(AVERAGE(INDIRECT(ADDRESS(CD8,13)):INDIRECT(ADDRESS(CD9+CE8,13))),"")</f>
        <v/>
      </c>
      <c r="CD8" s="6" t="str">
        <f>IFERROR(SMALL(Tabell1345[[BruddKode ]],CK8-1),"")</f>
        <v/>
      </c>
      <c r="CE8" s="6" t="str">
        <f>IFERROR(IF(CD9+1=(ROW(Tabell1345[#All])+ROWS(Tabell1345[#All])),0,-1),"")</f>
        <v/>
      </c>
      <c r="CI8" s="8"/>
      <c r="CJ8" s="8" t="s">
        <v>27</v>
      </c>
      <c r="CK8" s="8">
        <v>6</v>
      </c>
      <c r="CL8" s="8"/>
      <c r="CM8" s="8" t="str">
        <f t="shared" ca="1" si="3"/>
        <v/>
      </c>
      <c r="CN8" s="8" t="str">
        <f t="shared" ca="1" si="4"/>
        <v/>
      </c>
      <c r="CO8" s="8"/>
    </row>
    <row r="9" spans="1:93" s="6" customFormat="1" ht="12.65" customHeight="1" x14ac:dyDescent="0.35">
      <c r="F9" s="10" t="s">
        <v>28</v>
      </c>
      <c r="G9" s="12" t="s">
        <v>29</v>
      </c>
      <c r="BH9" s="7"/>
      <c r="BI9" s="7"/>
      <c r="BJ9" s="7"/>
      <c r="BK9" s="7"/>
      <c r="BU9" s="20" t="s">
        <v>30</v>
      </c>
      <c r="BV9" s="6" t="str">
        <f t="shared" ca="1" si="0"/>
        <v/>
      </c>
      <c r="BW9" s="6">
        <v>7</v>
      </c>
      <c r="BX9" s="6">
        <f ca="1">IF(BV10&lt;&gt;"",BV10,ROW(Tabell1345[#All])+ROWS(Tabell1345[#All]))</f>
        <v>16</v>
      </c>
      <c r="BY9" s="21" t="str">
        <f ca="1">IFERROR(AVERAGE(INDIRECT(ADDRESS(CD9,66)):INDIRECT(ADDRESS(CD10+CE9,66))),IF(BV9&lt;&gt;"",BY8,""))</f>
        <v/>
      </c>
      <c r="BZ9" s="21" t="str">
        <f ca="1">IFERROR(MEDIAN(INDIRECT(ADDRESS(CD9,66)):INDIRECT(ADDRESS(CD10+CE9,66))),IF(BV9&lt;&gt;"",BZ8,""))</f>
        <v/>
      </c>
      <c r="CA9" s="21" t="str">
        <f t="shared" ca="1" si="1"/>
        <v/>
      </c>
      <c r="CB9" s="22" t="str">
        <f t="shared" ca="1" si="2"/>
        <v/>
      </c>
      <c r="CC9" s="21" t="str">
        <f ca="1">IFERROR(AVERAGE(INDIRECT(ADDRESS(CD9,13)):INDIRECT(ADDRESS(CD10+CE9,13))),"")</f>
        <v/>
      </c>
      <c r="CD9" s="6" t="str">
        <f>IFERROR(SMALL(Tabell1345[[BruddKode ]],CK9-1),"")</f>
        <v/>
      </c>
      <c r="CE9" s="6" t="str">
        <f>IFERROR(IF(CD10+1=(ROW(Tabell1345[#All])+ROWS(Tabell1345[#All])),0,-1),"")</f>
        <v/>
      </c>
      <c r="CI9" s="8"/>
      <c r="CJ9" s="8" t="s">
        <v>30</v>
      </c>
      <c r="CK9" s="8">
        <v>7</v>
      </c>
      <c r="CL9" s="8"/>
      <c r="CM9" s="8" t="str">
        <f t="shared" ca="1" si="3"/>
        <v/>
      </c>
      <c r="CN9" s="8" t="str">
        <f t="shared" ca="1" si="4"/>
        <v/>
      </c>
      <c r="CO9" s="8"/>
    </row>
    <row r="10" spans="1:93" s="6" customFormat="1" ht="12.65" customHeight="1" x14ac:dyDescent="0.35">
      <c r="F10"/>
      <c r="G10"/>
      <c r="BH10" s="7"/>
      <c r="BI10" s="7"/>
      <c r="BJ10" s="7"/>
      <c r="BK10" s="7"/>
      <c r="BU10" s="20" t="str">
        <f ca="1">IF(BV11&lt;&gt;"",CJ10,IF(ISNUMBER(BV10),$CJ$10,""))</f>
        <v/>
      </c>
      <c r="BV10" s="6" t="str">
        <f t="shared" ca="1" si="0"/>
        <v/>
      </c>
      <c r="BW10" s="6" t="str">
        <f ca="1">IF(BV11&lt;&gt;"",CK10,IF(ISNUMBER(BV10),MAXA($BW$3:BW9),""))</f>
        <v/>
      </c>
      <c r="BX10" s="6">
        <f ca="1">IF(BV11&lt;&gt;"",BV11,ROW(Tabell1345[#All])+ROWS(Tabell1345[#All]))</f>
        <v>16</v>
      </c>
      <c r="BY10" s="21" t="str">
        <f ca="1">IFERROR(AVERAGE(INDIRECT(ADDRESS(CD10,66)):INDIRECT(ADDRESS(CD11+CE10,66))),IF(BV10&lt;&gt;"",BY9,""))</f>
        <v/>
      </c>
      <c r="BZ10" s="21" t="str">
        <f ca="1">IFERROR(MEDIAN(INDIRECT(ADDRESS(CD10,66)):INDIRECT(ADDRESS(CD11+CE10,66))),IF(BV10&lt;&gt;"",BZ9,""))</f>
        <v/>
      </c>
      <c r="CA10" s="21" t="str">
        <f t="shared" ca="1" si="1"/>
        <v/>
      </c>
      <c r="CB10" s="22" t="str">
        <f t="shared" ca="1" si="2"/>
        <v/>
      </c>
      <c r="CC10" s="21" t="str">
        <f ca="1">IFERROR(AVERAGE(INDIRECT(ADDRESS(CD10,13)):INDIRECT(ADDRESS(CD11+CE10,13))),"")</f>
        <v/>
      </c>
      <c r="CD10" s="6" t="str">
        <f>IFERROR(SMALL(Tabell1345[[BruddKode ]],CK10-1),"")</f>
        <v/>
      </c>
      <c r="CE10" s="6" t="str">
        <f>IFERROR(IF(CD11+1=(ROW(Tabell1345[#All])+ROWS(Tabell1345[#All])),0,-1),"")</f>
        <v/>
      </c>
      <c r="CI10" s="8"/>
      <c r="CJ10" s="8" t="s">
        <v>31</v>
      </c>
      <c r="CK10" s="8">
        <v>8</v>
      </c>
      <c r="CL10" s="8"/>
      <c r="CM10" s="8"/>
      <c r="CN10" s="8"/>
      <c r="CO10" s="8"/>
    </row>
    <row r="11" spans="1:93" s="6" customFormat="1" ht="12.65" customHeight="1" x14ac:dyDescent="0.3">
      <c r="BH11" s="7"/>
      <c r="BI11" s="7"/>
      <c r="BJ11" s="7"/>
      <c r="BK11" s="7"/>
      <c r="BU11" s="20"/>
      <c r="BV11" s="6" t="str">
        <f t="shared" ca="1" si="0"/>
        <v/>
      </c>
      <c r="BZ11" s="21" t="str">
        <f ca="1">IFERROR(MEDIAN(INDIRECT(ADDRESS(CD11,3)):INDIRECT(ADDRESS(CD12+CE11,3))),IF(BV11&lt;&gt;"",BZ10,""))</f>
        <v/>
      </c>
      <c r="CB11" s="23"/>
      <c r="CC11" s="21" t="str">
        <f ca="1">IFERROR(AVERAGE(INDIRECT(ADDRESS(CD11,13)):INDIRECT(ADDRESS(CD12+CE11,13))),"")</f>
        <v/>
      </c>
      <c r="CD11" s="6" t="str">
        <f>IFERROR(SMALL(Tabell1345[[BruddKode ]],CK11-1),"")</f>
        <v/>
      </c>
      <c r="CE11" s="6" t="str">
        <f>IFERROR(IF(CD12+1=(ROW(Tabell1345[#All])+ROWS(Tabell1345[#All])),0,-1),"")</f>
        <v/>
      </c>
      <c r="CI11" s="8"/>
      <c r="CJ11" s="8"/>
      <c r="CK11" s="8"/>
      <c r="CL11" s="8"/>
      <c r="CM11" s="8"/>
      <c r="CN11" s="8"/>
      <c r="CO11" s="8"/>
    </row>
    <row r="12" spans="1:93" s="6" customFormat="1" ht="12.65" customHeight="1" x14ac:dyDescent="0.3">
      <c r="BH12" s="7"/>
      <c r="BI12" s="7"/>
      <c r="BJ12" s="7"/>
      <c r="BK12" s="7"/>
      <c r="BU12" s="24" t="s">
        <v>32</v>
      </c>
      <c r="BV12" s="25">
        <f>COUNTIF(Tabell1345[[#All],[Brudd]],"*~**")</f>
        <v>0</v>
      </c>
      <c r="BW12" s="26" t="str">
        <f>IF(BV12&gt;6,"Feil! Kan ikke vise flere enn seks brudd. ","")</f>
        <v/>
      </c>
      <c r="BX12" s="26"/>
      <c r="BY12" s="26" t="str">
        <f>IF(CA12&gt;0,CA12&amp; " punkter mangler data. ","")</f>
        <v xml:space="preserve">1 punkter mangler data. </v>
      </c>
      <c r="BZ12" s="26" t="str">
        <f>BW12&amp;BY12</f>
        <v xml:space="preserve">1 punkter mangler data. </v>
      </c>
      <c r="CA12" s="27">
        <f>COUNTIF(Tabell1345[[#All],[Verdi]],"")+COUNTIF(Tabell1345[[#All],[Verdi]],NA())</f>
        <v>1</v>
      </c>
      <c r="CB12" s="28"/>
      <c r="CD12" s="6" t="str">
        <f>IFERROR(SMALL(Tabell1345[[BruddKode ]],CK12-1),"")</f>
        <v/>
      </c>
      <c r="CI12" s="8"/>
      <c r="CJ12" s="8"/>
      <c r="CK12" s="8"/>
      <c r="CL12" s="8" t="s">
        <v>33</v>
      </c>
      <c r="CM12" s="8" t="e">
        <f ca="1">G5&amp;" | "&amp;CM3&amp;CM4&amp;CM5&amp;CM6&amp;CM7&amp;CM8&amp;CM9</f>
        <v>#VALUE!</v>
      </c>
      <c r="CN12" s="8" t="str">
        <f ca="1">G6&amp;" | "&amp;CN3&amp;CN4&amp;CN5&amp;CN6&amp;CN7&amp;CN8&amp;CN9</f>
        <v>Run-diagram | Median 1: 0</v>
      </c>
      <c r="CO12" s="8"/>
    </row>
    <row r="13" spans="1:93" ht="11.25" customHeight="1" x14ac:dyDescent="0.35">
      <c r="CL13" s="3" t="s">
        <v>34</v>
      </c>
      <c r="CM13" s="3" t="e">
        <f ca="1">BZ12&amp;" "&amp;IF(G7&lt;&gt;"",G7,CM12)</f>
        <v>#VALUE!</v>
      </c>
      <c r="CN13" s="3" t="str">
        <f ca="1">BZ12&amp;" "&amp;IF(G7&lt;&gt;"",G7,CN12)</f>
        <v>1 punkter mangler data.  Run-diagram | Median 1: 0</v>
      </c>
    </row>
    <row r="14" spans="1:93" x14ac:dyDescent="0.35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7</v>
      </c>
      <c r="L14" t="s">
        <v>6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  <c r="AT14" t="s">
        <v>78</v>
      </c>
      <c r="AU14" t="s">
        <v>79</v>
      </c>
      <c r="AV14" t="s">
        <v>80</v>
      </c>
      <c r="AW14" t="s">
        <v>81</v>
      </c>
      <c r="AX14" t="s">
        <v>82</v>
      </c>
      <c r="AY14" t="s">
        <v>83</v>
      </c>
      <c r="AZ14" t="s">
        <v>84</v>
      </c>
      <c r="BA14" t="s">
        <v>85</v>
      </c>
      <c r="BB14" t="s">
        <v>86</v>
      </c>
      <c r="BC14" t="s">
        <v>87</v>
      </c>
      <c r="BD14" t="s">
        <v>88</v>
      </c>
      <c r="BE14" t="s">
        <v>89</v>
      </c>
      <c r="BF14" t="s">
        <v>90</v>
      </c>
      <c r="BG14" t="s">
        <v>91</v>
      </c>
      <c r="BH14" s="5" t="s">
        <v>92</v>
      </c>
      <c r="BI14" s="5" t="s">
        <v>93</v>
      </c>
      <c r="BJ14" s="5" t="s">
        <v>94</v>
      </c>
      <c r="BK14" s="5" t="s">
        <v>95</v>
      </c>
      <c r="BL14" t="s">
        <v>96</v>
      </c>
      <c r="BM14" t="s">
        <v>97</v>
      </c>
      <c r="BN14" t="s">
        <v>98</v>
      </c>
      <c r="BO14" t="s">
        <v>99</v>
      </c>
      <c r="BP14" t="s">
        <v>100</v>
      </c>
      <c r="BQ14" t="s">
        <v>101</v>
      </c>
      <c r="BR14" t="s">
        <v>102</v>
      </c>
      <c r="BS14" t="s">
        <v>103</v>
      </c>
      <c r="BU14" s="29" t="s">
        <v>104</v>
      </c>
    </row>
    <row r="15" spans="1:93" x14ac:dyDescent="0.35">
      <c r="A15">
        <f ca="1">IF(ISNUMBER(OFFSET(Tabell1345[[#This Row],[Nr]],-1,0)),OFFSET(Tabell1345[[#This Row],[Nr]],-1,0))+1</f>
        <v>1</v>
      </c>
      <c r="C15" s="36"/>
      <c r="D15" s="37"/>
      <c r="H15" t="e">
        <f t="shared" ref="H15" si="5">IF($B$6&lt;&gt;"",$B$6,NA())</f>
        <v>#N/A</v>
      </c>
      <c r="I15">
        <f>IF(OR(Tabell1345[[#This Row],[Brudd]]="*",ROW()-ROW(Tabell1345[#All])+1=ROWS(Tabell1345[#All])),ROW())</f>
        <v>15</v>
      </c>
      <c r="J15" s="2">
        <f ca="1">VLOOKUP(Tabell1345[[#This Row],[Nr]],$BV$2:$CB$11,4,TRUE)</f>
        <v>0</v>
      </c>
      <c r="K15" s="2" t="str">
        <f ca="1">VLOOKUP(Tabell1345[[#This Row],[Nr]],$BV$2:$CB$11,7,TRUE)</f>
        <v>LCL</v>
      </c>
      <c r="L15" s="2" t="str">
        <f ca="1">VLOOKUP(Tabell1345[[#This Row],[Nr]],$BV$2:$CB$11,6,TRUE)</f>
        <v>UCL</v>
      </c>
      <c r="M15" t="str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/>
      </c>
      <c r="N15">
        <f ca="1">IF(VLOOKUP(Tabell1345[[#This Row],[Nr]],$BV$3:$CB$11,2,TRUE)=1,VLOOKUP(Tabell1345[[#This Row],[Nr]],$BV$3:$CB$11,4,TRUE),NA())</f>
        <v>0</v>
      </c>
      <c r="O15" t="e">
        <f ca="1">IF(VLOOKUP(Tabell1345[[#This Row],[Nr]],$BV$3:$CB$11,2,TRUE)=2,VLOOKUP(Tabell1345[[#This Row],[Nr]],$BV$3:$CB$11,4,TRUE),NA())</f>
        <v>#N/A</v>
      </c>
      <c r="P15" s="2" t="e">
        <f ca="1">IF(VLOOKUP(Tabell1345[[#This Row],[Nr]],$BV$3:$CB$11,2,TRUE)=3,VLOOKUP(Tabell1345[[#This Row],[Nr]],$BV$3:$CB$11,4,TRUE),NA())</f>
        <v>#N/A</v>
      </c>
      <c r="Q15" t="e">
        <f ca="1">IF(VLOOKUP(Tabell1345[[#This Row],[Nr]],$BV$3:$CB$11,2,TRUE)=4,VLOOKUP(Tabell1345[[#This Row],[Nr]],$BV$3:$CB$11,4,TRUE),NA())</f>
        <v>#N/A</v>
      </c>
      <c r="R15" t="e">
        <f ca="1">IF(VLOOKUP(Tabell1345[[#This Row],[Nr]],$BV$3:$CB$11,2,TRUE)=5,VLOOKUP(Tabell1345[[#This Row],[Nr]],$BV$3:$CB$11,4,TRUE),NA())</f>
        <v>#N/A</v>
      </c>
      <c r="S15" t="e">
        <f ca="1">IF(VLOOKUP(Tabell1345[[#This Row],[Nr]],$BV$3:$CB$11,2,TRUE)=6,VLOOKUP(Tabell1345[[#This Row],[Nr]],$BV$3:$CB$11,4,TRUE),NA())</f>
        <v>#N/A</v>
      </c>
      <c r="T15" t="e">
        <f ca="1">IF(VLOOKUP(Tabell1345[[#This Row],[Nr]],$BV$3:$CB$11,2,TRUE)=7,VLOOKUP(Tabell1345[[#This Row],[Nr]],$BV$3:$CB$11,4,TRUE),NA())</f>
        <v>#N/A</v>
      </c>
      <c r="U15" t="str">
        <f ca="1">IF(VLOOKUP(Tabell1345[[#This Row],[Nr]],$BV$3:$CB$11,2,TRUE)=1,VLOOKUP(Tabell1345[[#This Row],[Nr]],$BV$3:$CB$11,6,TRUE),NA())</f>
        <v>UCL</v>
      </c>
      <c r="V15" t="e">
        <f ca="1">IF(VLOOKUP(Tabell1345[[#This Row],[Nr]],$BV$3:$CB$11,2,TRUE)=2,VLOOKUP(Tabell1345[[#This Row],[Nr]],$BV$3:$CB$11,6,TRUE),NA())</f>
        <v>#N/A</v>
      </c>
      <c r="W15" t="e">
        <f ca="1">IF(VLOOKUP(Tabell1345[[#This Row],[Nr]],$BV$3:$CB$11,2,TRUE)=3,VLOOKUP(Tabell1345[[#This Row],[Nr]],$BV$3:$CB$11,6,TRUE),NA())</f>
        <v>#N/A</v>
      </c>
      <c r="X15" t="e">
        <f ca="1">IF(VLOOKUP(Tabell1345[[#This Row],[Nr]],$BV$3:$CB$11,2,TRUE)=4,VLOOKUP(Tabell1345[[#This Row],[Nr]],$BV$3:$CB$11,6,TRUE),NA())</f>
        <v>#N/A</v>
      </c>
      <c r="Y15" t="e">
        <f ca="1">IF(VLOOKUP(Tabell1345[[#This Row],[Nr]],$BV$3:$CB$11,2,TRUE)=5,VLOOKUP(Tabell1345[[#This Row],[Nr]],$BV$3:$CB$11,6,TRUE),NA())</f>
        <v>#N/A</v>
      </c>
      <c r="Z15" t="e">
        <f ca="1">IF(VLOOKUP(Tabell1345[[#This Row],[Nr]],$BV$3:$CB$11,2,TRUE)=6,VLOOKUP(Tabell1345[[#This Row],[Nr]],$BV$3:$CB$11,6,TRUE),NA())</f>
        <v>#N/A</v>
      </c>
      <c r="AA15" t="e">
        <f ca="1">IF(VLOOKUP(Tabell1345[[#This Row],[Nr]],$BV$3:$CB$11,2,TRUE)=7,VLOOKUP(Tabell1345[[#This Row],[Nr]],$BV$3:$CB$11,6,TRUE),NA())</f>
        <v>#N/A</v>
      </c>
      <c r="AB15" t="str">
        <f ca="1">IF(VLOOKUP(Tabell1345[[#This Row],[Nr]],$BV$3:$CB$11,2,TRUE)=1,VLOOKUP(Tabell1345[[#This Row],[Nr]],$BV$3:$CB$11,7,TRUE),NA())</f>
        <v>LCL</v>
      </c>
      <c r="AC15" t="e">
        <f ca="1">IF(VLOOKUP(Tabell1345[[#This Row],[Nr]],$BV$3:$CB$11,2,TRUE)=2,VLOOKUP(Tabell1345[[#This Row],[Nr]],$BV$3:$CB$11,7,TRUE),NA())</f>
        <v>#N/A</v>
      </c>
      <c r="AD15" t="e">
        <f ca="1">IF(VLOOKUP(Tabell1345[[#This Row],[Nr]],$BV$3:$CB$11,2,TRUE)=3,VLOOKUP(Tabell1345[[#This Row],[Nr]],$BV$3:$CB$11,7,TRUE),NA())</f>
        <v>#N/A</v>
      </c>
      <c r="AE15" t="e">
        <f ca="1">IF(VLOOKUP(Tabell1345[[#This Row],[Nr]],$BV$3:$CB$11,2,TRUE)=4,VLOOKUP(Tabell1345[[#This Row],[Nr]],$BV$3:$CB$11,7,TRUE),NA())</f>
        <v>#N/A</v>
      </c>
      <c r="AF15" t="e">
        <f ca="1">IF(VLOOKUP(Tabell1345[[#This Row],[Nr]],$BV$3:$CB$11,2,TRUE)=5,VLOOKUP(Tabell1345[[#This Row],[Nr]],$BV$3:$CB$11,7,TRUE),NA())</f>
        <v>#N/A</v>
      </c>
      <c r="AG15" t="e">
        <f ca="1">IF(VLOOKUP(Tabell1345[[#This Row],[Nr]],$BV$3:$CB$11,2,TRUE)=6,VLOOKUP(Tabell1345[[#This Row],[Nr]],$BV$3:$CB$11,7,TRUE),NA())</f>
        <v>#N/A</v>
      </c>
      <c r="AH15" t="e">
        <f ca="1">IF(VLOOKUP(Tabell1345[[#This Row],[Nr]],$BV$3:$CB$11,2,TRUE)=7,VLOOKUP(Tabell1345[[#This Row],[Nr]],$BV$3:$CB$11,7,TRUE),NA())</f>
        <v>#N/A</v>
      </c>
      <c r="AI15">
        <f ca="1">IF(VLOOKUP(Tabell1345[[#This Row],[Nr]],$BV$3:$CB$11,2,TRUE)=1,VLOOKUP(Tabell1345[[#This Row],[Nr]],$BV$3:$CB$11,5,TRUE),NA())</f>
        <v>0</v>
      </c>
      <c r="AJ15" t="e">
        <f ca="1">IF(VLOOKUP(Tabell1345[[#This Row],[Nr]],$BV$3:$CB$11,2,TRUE)=2,VLOOKUP(Tabell1345[[#This Row],[Nr]],$BV$3:$CB$11,5,TRUE),NA())</f>
        <v>#N/A</v>
      </c>
      <c r="AK15" t="e">
        <f ca="1">IF(VLOOKUP(Tabell1345[[#This Row],[Nr]],$BV$3:$CB$11,2,TRUE)=3,VLOOKUP(Tabell1345[[#This Row],[Nr]],$BV$3:$CB$11,5,TRUE),NA())</f>
        <v>#N/A</v>
      </c>
      <c r="AL15" t="e">
        <f ca="1">IF(VLOOKUP(Tabell1345[[#This Row],[Nr]],$BV$3:$CB$11,2,TRUE)=4,VLOOKUP(Tabell1345[[#This Row],[Nr]],$BV$3:$CB$11,5,TRUE),NA())</f>
        <v>#N/A</v>
      </c>
      <c r="AM15" t="e">
        <f ca="1">IF(VLOOKUP(Tabell1345[[#This Row],[Nr]],$BV$3:$CB$11,2,TRUE)=5,VLOOKUP(Tabell1345[[#This Row],[Nr]],$BV$3:$CB$11,5,TRUE),NA())</f>
        <v>#N/A</v>
      </c>
      <c r="AN15" t="e">
        <f ca="1">IF(VLOOKUP(Tabell1345[[#This Row],[Nr]],$BV$3:$CB$11,2,TRUE)=6,VLOOKUP(Tabell1345[[#This Row],[Nr]],$BV$3:$CB$11,5,TRUE),NA())</f>
        <v>#N/A</v>
      </c>
      <c r="AO15" t="e">
        <f ca="1">IF(VLOOKUP(Tabell1345[[#This Row],[Nr]],$BV$3:$CB$11,2,TRUE)=7,VLOOKUP(Tabell1345[[#This Row],[Nr]],$BV$3:$CB$11,5,TRUE),NA())</f>
        <v>#N/A</v>
      </c>
      <c r="AP15">
        <f ca="1">IF(VLOOKUP(Tabell1345[[#This Row],[Nr]],$BV$3:$CB$11,2,TRUE)=1,Tabell1345[[#This Row],[Verdi_korrigert_IT]],NA())</f>
        <v>0</v>
      </c>
      <c r="AQ15" t="e">
        <f ca="1">IF(VLOOKUP(Tabell1345[[#This Row],[Nr]],$BV$3:$CB$11,2,TRUE)=2,Tabell1345[[#This Row],[Verdi_korrigert_IT]],NA())</f>
        <v>#N/A</v>
      </c>
      <c r="AR15" t="e">
        <f ca="1">IF(VLOOKUP(Tabell1345[[#This Row],[Nr]],$BV$3:$CB$11,2,TRUE)=3,Tabell1345[[#This Row],[Verdi_korrigert_IT]],NA())</f>
        <v>#N/A</v>
      </c>
      <c r="AS15" t="e">
        <f ca="1">IF(VLOOKUP(Tabell1345[[#This Row],[Nr]],$BV$3:$CB$11,2,TRUE)=4,Tabell1345[[#This Row],[Verdi_korrigert_IT]],NA())</f>
        <v>#N/A</v>
      </c>
      <c r="AT15" t="e">
        <f ca="1">IF(VLOOKUP(Tabell1345[[#This Row],[Nr]],$BV$3:$CB$11,2,TRUE)=5,Tabell1345[[#This Row],[Verdi_korrigert_IT]],NA())</f>
        <v>#N/A</v>
      </c>
      <c r="AU15" t="e">
        <f ca="1">IF(VLOOKUP(Tabell1345[[#This Row],[Nr]],$BV$3:$CB$11,2,TRUE)=6,Tabell1345[[#This Row],[Verdi_korrigert_IT]],NA())</f>
        <v>#N/A</v>
      </c>
      <c r="AV15" t="e">
        <f ca="1">IF(VLOOKUP(Tabell1345[[#This Row],[Nr]],$BV$3:$CB$11,2,TRUE)=7,Tabell1345[[#This Row],[Verdi_korrigert_IT]],NA())</f>
        <v>#N/A</v>
      </c>
      <c r="AW15">
        <f ca="1">IF(Tabell1345[[#This Row],[Brudd]]&lt;&gt;"*",IF(ISNUMBER(OFFSET(Tabell1345[[#This Row],[ser_indeks]],-1,0)),OFFSET(Tabell1345[[#This Row],[ser_indeks]],-1,0),0),0)+1</f>
        <v>1</v>
      </c>
      <c r="AX15">
        <f ca="1">VLOOKUP(Tabell1345[[#This Row],[Nr]],$BV$2:$BW$9,2,TRUE)</f>
        <v>1</v>
      </c>
      <c r="AY15">
        <f ca="1">IF(OFFSET(Tabell1345[[#This Row],[ser_indeks]],1,0)&lt;Tabell1345[[#This Row],[ser_indeks]],1,0)</f>
        <v>1</v>
      </c>
      <c r="AZ15">
        <f ca="1">IFERROR(VALUE(Tabell1345[[#This Row],[Verdi_korrigert_IT]]),OFFSET(Tabell1345[[#This Row],[verdi_korrigert]],-1,0))</f>
        <v>0</v>
      </c>
      <c r="BA15">
        <f ca="1">_xlfn.RANK.AVG(Tabell1345[[#This Row],[verdi_korrigert]],Tabell1345[verdi_korrigert],1)</f>
        <v>1</v>
      </c>
      <c r="BB15">
        <f ca="1">IF(Tabell1345[[#This Row],[rang]]=OFFSET(Tabell1345[[#This Row],[rang]],1,0),1,0)</f>
        <v>0</v>
      </c>
      <c r="BC15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15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15">
        <f ca="1">MAXA(Tabell1345[[#This Row],[rang_stig]:[rang_synk]])</f>
        <v>0</v>
      </c>
      <c r="BF15">
        <f ca="1">($CH$2-1)+_xlfn.AGGREGATE(9,6,Tabell1345[[#This Row],[rang_samme]]:OFFSET(Tabell1345[[#This Row],[rang_samme]],($CH$2-1),0))</f>
        <v>5</v>
      </c>
      <c r="BG15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5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15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15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15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5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15">
        <f ca="1">IF($G$9="ja",IF(OR(Tabell1345[[#This Row],[Verdi_korrigert_IT]]&gt;Tabell1345[[#This Row],[UCL]],Tabell1345[[#This Row],[Verdi_korrigert_IT]]&lt;Tabell1345[[#This Row],[LCL]]),Tabell1345[[#This Row],[Verdi_korrigert_IT]],NA()),NA())</f>
        <v>0</v>
      </c>
      <c r="BN15">
        <f>IF(Tabell1345[[#This Row],[Brudd]]="x","",Tabell1345[[#This Row],[Verdi]])</f>
        <v>0</v>
      </c>
      <c r="BO15">
        <f>IF(Tabell1345[[#This Row],[Brudd]]="x",NA(),Tabell1345[[#This Row],[Verdi]])</f>
        <v>0</v>
      </c>
      <c r="BP15">
        <f ca="1">IF(ISERROR(Tabell1345[[#This Row],[Verdi_korrigert_IT]]),OFFSET(Tabell1345[[#This Row],[ForrigeGyldige]],-1,0),Tabell1345[[#This Row],[Verdi]])</f>
        <v>0</v>
      </c>
      <c r="BQ15">
        <f>Tabell1345[[#This Row],[Verdi]]</f>
        <v>0</v>
      </c>
    </row>
  </sheetData>
  <conditionalFormatting sqref="A15">
    <cfRule type="containsBlanks" dxfId="4" priority="3">
      <formula>LEN(TRIM(A15))=0</formula>
    </cfRule>
  </conditionalFormatting>
  <conditionalFormatting sqref="C15">
    <cfRule type="expression" dxfId="3" priority="2">
      <formula>OR(NOT(ISNUMBER(0+C15)),ISBLANK(C15))</formula>
    </cfRule>
  </conditionalFormatting>
  <conditionalFormatting sqref="D15">
    <cfRule type="cellIs" dxfId="2" priority="1" operator="equal">
      <formula>"*"</formula>
    </cfRule>
    <cfRule type="cellIs" dxfId="1" priority="6" operator="equal">
      <formula>"x"</formula>
    </cfRule>
    <cfRule type="notContainsErrors" dxfId="0" priority="8">
      <formula>NOT(ISERROR(D15))</formula>
    </cfRule>
  </conditionalFormatting>
  <dataValidations count="3">
    <dataValidation type="whole" showInputMessage="1" showErrorMessage="1" sqref="CH2" xr:uid="{00000000-0002-0000-0000-000000000000}">
      <formula1>1</formula1>
      <formula2>99</formula2>
    </dataValidation>
    <dataValidation type="whole" allowBlank="1" showInputMessage="1" showErrorMessage="1" sqref="CH3" xr:uid="{00000000-0002-0000-0000-000001000000}">
      <formula1>0</formula1>
      <formula2>1</formula2>
    </dataValidation>
    <dataValidation type="whole" showInputMessage="1" showErrorMessage="1" sqref="G4" xr:uid="{00000000-0002-0000-0000-000002000000}">
      <formula1>0</formula1>
      <formula2>9</formula2>
    </dataValidation>
  </dataValidations>
  <pageMargins left="0.7" right="0.7" top="0.75" bottom="0.75" header="0.3" footer="0.3"/>
  <pageSetup paperSize="9" scale="80" orientation="portrait" r:id="rId1"/>
  <colBreaks count="1" manualBreakCount="1">
    <brk id="71" max="54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2:L35"/>
  <sheetViews>
    <sheetView topLeftCell="A10" zoomScaleNormal="100" workbookViewId="0">
      <selection activeCell="H28" sqref="H28"/>
    </sheetView>
  </sheetViews>
  <sheetFormatPr baseColWidth="10" defaultColWidth="11.453125" defaultRowHeight="14.5" x14ac:dyDescent="0.35"/>
  <cols>
    <col min="1" max="1" width="6.26953125" customWidth="1"/>
    <col min="10" max="10" width="13" customWidth="1"/>
  </cols>
  <sheetData>
    <row r="12" spans="1:12" x14ac:dyDescent="0.35">
      <c r="B12" t="s">
        <v>105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3" t="s">
        <v>106</v>
      </c>
      <c r="K12" s="34">
        <f>SUM(C$12:I$12)</f>
        <v>7</v>
      </c>
    </row>
    <row r="14" spans="1:12" x14ac:dyDescent="0.35">
      <c r="A14" t="s">
        <v>35</v>
      </c>
      <c r="B14" t="s">
        <v>36</v>
      </c>
      <c r="C14" t="s">
        <v>74</v>
      </c>
      <c r="D14" t="s">
        <v>75</v>
      </c>
      <c r="E14" t="s">
        <v>76</v>
      </c>
      <c r="F14" t="s">
        <v>77</v>
      </c>
      <c r="G14" t="s">
        <v>78</v>
      </c>
      <c r="H14" t="s">
        <v>79</v>
      </c>
      <c r="I14" t="s">
        <v>80</v>
      </c>
      <c r="J14" t="s">
        <v>107</v>
      </c>
      <c r="K14" t="s">
        <v>108</v>
      </c>
      <c r="L14" t="s">
        <v>109</v>
      </c>
    </row>
    <row r="15" spans="1:12" x14ac:dyDescent="0.35">
      <c r="A15">
        <f ca="1">IF(ISNUMBER(OFFSET(Tabell1[[#This Row],[Nr]],-1,0)),OFFSET(Tabell1[[#This Row],[Nr]],-1,0))+1</f>
        <v>1</v>
      </c>
      <c r="C15" s="31">
        <v>1</v>
      </c>
      <c r="D15" s="31">
        <v>0</v>
      </c>
      <c r="E15" s="31">
        <v>1</v>
      </c>
      <c r="F15" s="31">
        <v>1</v>
      </c>
      <c r="G15" s="31">
        <v>1</v>
      </c>
      <c r="H15" s="31"/>
      <c r="I15" s="31"/>
      <c r="J15">
        <f>Tabell1[[#This Row],[Verdi1]]*C$12+Tabell1[[#This Row],[Verdi2]]*D$12+Tabell1[[#This Row],[Verdi3]]*E$12+Tabell1[[#This Row],[Verdi4]]*F$12+Tabell1[[#This Row],[Verdi5]]*G$12+Tabell1[[#This Row],[Verdi6]]*H$12+Tabell1[[#This Row],[Verdi7]]*I$12</f>
        <v>4</v>
      </c>
      <c r="K15" s="32">
        <f>Tabell1[[#This Row],[Totalskår]]/K$12*100</f>
        <v>57.142857142857139</v>
      </c>
      <c r="L15" s="31"/>
    </row>
    <row r="16" spans="1:12" x14ac:dyDescent="0.35">
      <c r="A16">
        <f ca="1">IF(ISNUMBER(OFFSET(Tabell1[[#This Row],[Nr]],-1,0)),OFFSET(Tabell1[[#This Row],[Nr]],-1,0))+1</f>
        <v>2</v>
      </c>
      <c r="C16" s="31"/>
      <c r="D16" s="31"/>
      <c r="E16" s="31"/>
      <c r="F16" s="31">
        <v>1</v>
      </c>
      <c r="G16" s="31"/>
      <c r="H16" s="31"/>
      <c r="I16" s="31"/>
      <c r="J16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6" s="32">
        <f>Tabell1[[#This Row],[Totalskår]]/K$12*100</f>
        <v>14.285714285714285</v>
      </c>
      <c r="L16" s="31"/>
    </row>
    <row r="17" spans="1:12" x14ac:dyDescent="0.35">
      <c r="A17">
        <f ca="1">IF(ISNUMBER(OFFSET(Tabell1[[#This Row],[Nr]],-1,0)),OFFSET(Tabell1[[#This Row],[Nr]],-1,0))+1</f>
        <v>3</v>
      </c>
      <c r="C17" s="31"/>
      <c r="D17" s="31"/>
      <c r="E17" s="31">
        <v>1</v>
      </c>
      <c r="F17" s="31"/>
      <c r="G17" s="31"/>
      <c r="H17" s="31"/>
      <c r="I17" s="31"/>
      <c r="J17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7" s="32">
        <f>Tabell1[[#This Row],[Totalskår]]/K$12*100</f>
        <v>14.285714285714285</v>
      </c>
      <c r="L17" s="31"/>
    </row>
    <row r="18" spans="1:12" x14ac:dyDescent="0.35">
      <c r="A18">
        <f ca="1">IF(ISNUMBER(OFFSET(Tabell1[[#This Row],[Nr]],-1,0)),OFFSET(Tabell1[[#This Row],[Nr]],-1,0))+1</f>
        <v>4</v>
      </c>
      <c r="C18" s="31"/>
      <c r="D18" s="31"/>
      <c r="E18" s="31"/>
      <c r="F18" s="31">
        <v>1</v>
      </c>
      <c r="G18" s="31">
        <v>1</v>
      </c>
      <c r="H18" s="31"/>
      <c r="I18" s="31"/>
      <c r="J18">
        <f>Tabell1[[#This Row],[Verdi1]]*C$12+Tabell1[[#This Row],[Verdi2]]*D$12+Tabell1[[#This Row],[Verdi3]]*E$12+Tabell1[[#This Row],[Verdi4]]*F$12+Tabell1[[#This Row],[Verdi5]]*G$12+Tabell1[[#This Row],[Verdi6]]*H$12+Tabell1[[#This Row],[Verdi7]]*I$12</f>
        <v>2</v>
      </c>
      <c r="K18" s="32">
        <f>Tabell1[[#This Row],[Totalskår]]/K$12*100</f>
        <v>28.571428571428569</v>
      </c>
      <c r="L18" s="31"/>
    </row>
    <row r="19" spans="1:12" x14ac:dyDescent="0.35">
      <c r="A19">
        <f ca="1">IF(ISNUMBER(OFFSET(Tabell1[[#This Row],[Nr]],-1,0)),OFFSET(Tabell1[[#This Row],[Nr]],-1,0))+1</f>
        <v>5</v>
      </c>
      <c r="C19" s="31"/>
      <c r="D19" s="31"/>
      <c r="E19" s="31"/>
      <c r="F19" s="31">
        <v>1</v>
      </c>
      <c r="G19" s="31"/>
      <c r="H19" s="31"/>
      <c r="I19" s="31"/>
      <c r="J19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9" s="32">
        <f>Tabell1[[#This Row],[Totalskår]]/K$12*100</f>
        <v>14.285714285714285</v>
      </c>
      <c r="L19" s="31"/>
    </row>
    <row r="20" spans="1:12" x14ac:dyDescent="0.35">
      <c r="A20">
        <f ca="1">IF(ISNUMBER(OFFSET(Tabell1[[#This Row],[Nr]],-1,0)),OFFSET(Tabell1[[#This Row],[Nr]],-1,0))+1</f>
        <v>6</v>
      </c>
      <c r="C20" s="31"/>
      <c r="D20" s="31"/>
      <c r="E20" s="31">
        <v>1</v>
      </c>
      <c r="F20" s="31"/>
      <c r="G20" s="31"/>
      <c r="H20" s="31"/>
      <c r="I20" s="31"/>
      <c r="J20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0" s="32">
        <f>Tabell1[[#This Row],[Totalskår]]/K$12*100</f>
        <v>14.285714285714285</v>
      </c>
      <c r="L20" s="31"/>
    </row>
    <row r="21" spans="1:12" x14ac:dyDescent="0.35">
      <c r="A21">
        <f ca="1">IF(ISNUMBER(OFFSET(Tabell1[[#This Row],[Nr]],-1,0)),OFFSET(Tabell1[[#This Row],[Nr]],-1,0))+1</f>
        <v>7</v>
      </c>
      <c r="C21" s="31">
        <v>1</v>
      </c>
      <c r="D21" s="31"/>
      <c r="E21" s="31"/>
      <c r="F21" s="31"/>
      <c r="G21" s="31"/>
      <c r="H21" s="31"/>
      <c r="I21" s="31"/>
      <c r="J21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1" s="32">
        <f>Tabell1[[#This Row],[Totalskår]]/K$12*100</f>
        <v>14.285714285714285</v>
      </c>
      <c r="L21" s="31"/>
    </row>
    <row r="22" spans="1:12" x14ac:dyDescent="0.35">
      <c r="A22">
        <f ca="1">IF(ISNUMBER(OFFSET(Tabell1[[#This Row],[Nr]],-1,0)),OFFSET(Tabell1[[#This Row],[Nr]],-1,0))+1</f>
        <v>8</v>
      </c>
      <c r="C22" s="31"/>
      <c r="D22" s="31">
        <v>1</v>
      </c>
      <c r="E22" s="31"/>
      <c r="F22" s="31"/>
      <c r="G22" s="31"/>
      <c r="H22" s="31"/>
      <c r="I22" s="31"/>
      <c r="J22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2" s="32">
        <f>Tabell1[[#This Row],[Totalskår]]/K$12*100</f>
        <v>14.285714285714285</v>
      </c>
      <c r="L22" s="31"/>
    </row>
    <row r="23" spans="1:12" x14ac:dyDescent="0.35">
      <c r="A23">
        <f ca="1">IF(ISNUMBER(OFFSET(Tabell1[[#This Row],[Nr]],-1,0)),OFFSET(Tabell1[[#This Row],[Nr]],-1,0))+1</f>
        <v>9</v>
      </c>
      <c r="C23" s="31"/>
      <c r="D23" s="31"/>
      <c r="E23" s="31"/>
      <c r="F23" s="31">
        <v>1</v>
      </c>
      <c r="G23" s="31"/>
      <c r="H23" s="31"/>
      <c r="I23" s="31"/>
      <c r="J23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3" s="32">
        <f>Tabell1[[#This Row],[Totalskår]]/K$12*100</f>
        <v>14.285714285714285</v>
      </c>
      <c r="L23" s="31"/>
    </row>
    <row r="24" spans="1:12" x14ac:dyDescent="0.35">
      <c r="A24">
        <f ca="1">IF(ISNUMBER(OFFSET(Tabell1[[#This Row],[Nr]],-1,0)),OFFSET(Tabell1[[#This Row],[Nr]],-1,0))+1</f>
        <v>10</v>
      </c>
      <c r="C24" s="31"/>
      <c r="D24" s="31"/>
      <c r="E24" s="31"/>
      <c r="F24" s="31"/>
      <c r="G24" s="31">
        <v>1</v>
      </c>
      <c r="H24" s="31"/>
      <c r="I24" s="31"/>
      <c r="J24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4" s="32">
        <f>Tabell1[[#This Row],[Totalskår]]/K$12*100</f>
        <v>14.285714285714285</v>
      </c>
      <c r="L24" s="31"/>
    </row>
    <row r="25" spans="1:12" x14ac:dyDescent="0.35">
      <c r="A25">
        <f ca="1">IF(ISNUMBER(OFFSET(Tabell1[[#This Row],[Nr]],-1,0)),OFFSET(Tabell1[[#This Row],[Nr]],-1,0))+1</f>
        <v>11</v>
      </c>
      <c r="C25" s="31"/>
      <c r="D25" s="31"/>
      <c r="E25" s="31"/>
      <c r="F25" s="31">
        <v>1</v>
      </c>
      <c r="G25" s="31"/>
      <c r="H25" s="31"/>
      <c r="I25" s="31"/>
      <c r="J25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5" s="32">
        <f>Tabell1[[#This Row],[Totalskår]]/K$12*100</f>
        <v>14.285714285714285</v>
      </c>
      <c r="L25" s="31"/>
    </row>
    <row r="26" spans="1:12" x14ac:dyDescent="0.35">
      <c r="A26">
        <f ca="1">IF(ISNUMBER(OFFSET(Tabell1[[#This Row],[Nr]],-1,0)),OFFSET(Tabell1[[#This Row],[Nr]],-1,0))+1</f>
        <v>12</v>
      </c>
      <c r="C26" s="31"/>
      <c r="D26" s="31"/>
      <c r="E26" s="31">
        <v>1</v>
      </c>
      <c r="F26" s="31"/>
      <c r="G26" s="31"/>
      <c r="H26" s="31"/>
      <c r="I26" s="31"/>
      <c r="J26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6" s="32">
        <f>Tabell1[[#This Row],[Totalskår]]/K$12*100</f>
        <v>14.285714285714285</v>
      </c>
      <c r="L26" s="31"/>
    </row>
    <row r="27" spans="1:12" x14ac:dyDescent="0.35">
      <c r="A27">
        <f ca="1">IF(ISNUMBER(OFFSET(Tabell1[[#This Row],[Nr]],-1,0)),OFFSET(Tabell1[[#This Row],[Nr]],-1,0))+1</f>
        <v>13</v>
      </c>
      <c r="C27" s="31"/>
      <c r="D27" s="31">
        <v>1</v>
      </c>
      <c r="E27" s="31"/>
      <c r="F27" s="31"/>
      <c r="G27" s="31"/>
      <c r="H27" s="31"/>
      <c r="I27" s="31"/>
      <c r="J27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7" s="32">
        <f>Tabell1[[#This Row],[Totalskår]]/K$12*100</f>
        <v>14.285714285714285</v>
      </c>
      <c r="L27" s="31"/>
    </row>
    <row r="28" spans="1:12" x14ac:dyDescent="0.35">
      <c r="A28">
        <f ca="1">IF(ISNUMBER(OFFSET(Tabell1[[#This Row],[Nr]],-1,0)),OFFSET(Tabell1[[#This Row],[Nr]],-1,0))+1</f>
        <v>14</v>
      </c>
      <c r="C28" s="31">
        <v>1</v>
      </c>
      <c r="D28" s="31"/>
      <c r="E28" s="31"/>
      <c r="F28" s="31"/>
      <c r="G28" s="31"/>
      <c r="H28" s="31"/>
      <c r="I28" s="31"/>
      <c r="J28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8" s="32">
        <f>Tabell1[[#This Row],[Totalskår]]/K$12*100</f>
        <v>14.285714285714285</v>
      </c>
      <c r="L28" s="31"/>
    </row>
    <row r="29" spans="1:12" x14ac:dyDescent="0.35">
      <c r="A29">
        <f ca="1">IF(ISNUMBER(OFFSET(Tabell1[[#This Row],[Nr]],-1,0)),OFFSET(Tabell1[[#This Row],[Nr]],-1,0))+1</f>
        <v>15</v>
      </c>
      <c r="C29" s="31"/>
      <c r="D29" s="31"/>
      <c r="E29" s="31"/>
      <c r="F29" s="31"/>
      <c r="G29" s="31"/>
      <c r="H29" s="31">
        <v>1</v>
      </c>
      <c r="I29" s="31"/>
      <c r="J29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9" s="32">
        <f>Tabell1[[#This Row],[Totalskår]]/K$12*100</f>
        <v>14.285714285714285</v>
      </c>
      <c r="L29" s="31"/>
    </row>
    <row r="30" spans="1:12" x14ac:dyDescent="0.35">
      <c r="A30">
        <f ca="1">IF(ISNUMBER(OFFSET(Tabell1[[#This Row],[Nr]],-1,0)),OFFSET(Tabell1[[#This Row],[Nr]],-1,0))+1</f>
        <v>16</v>
      </c>
      <c r="C30" s="31"/>
      <c r="D30" s="31"/>
      <c r="E30" s="31"/>
      <c r="F30" s="31"/>
      <c r="G30" s="31">
        <v>1</v>
      </c>
      <c r="H30" s="31"/>
      <c r="I30" s="31"/>
      <c r="J30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0" s="32">
        <f>Tabell1[[#This Row],[Totalskår]]/K$12*100</f>
        <v>14.285714285714285</v>
      </c>
      <c r="L30" s="31"/>
    </row>
    <row r="31" spans="1:12" x14ac:dyDescent="0.35">
      <c r="A31">
        <f ca="1">IF(ISNUMBER(OFFSET(Tabell1[[#This Row],[Nr]],-1,0)),OFFSET(Tabell1[[#This Row],[Nr]],-1,0))+1</f>
        <v>17</v>
      </c>
      <c r="C31" s="31"/>
      <c r="D31" s="31"/>
      <c r="E31" s="31"/>
      <c r="F31" s="31">
        <v>1</v>
      </c>
      <c r="G31" s="31"/>
      <c r="H31" s="31"/>
      <c r="I31" s="31"/>
      <c r="J31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1" s="32">
        <f>Tabell1[[#This Row],[Totalskår]]/K$12*100</f>
        <v>14.285714285714285</v>
      </c>
      <c r="L31" s="31"/>
    </row>
    <row r="32" spans="1:12" x14ac:dyDescent="0.35">
      <c r="A32">
        <f ca="1">IF(ISNUMBER(OFFSET(Tabell1[[#This Row],[Nr]],-1,0)),OFFSET(Tabell1[[#This Row],[Nr]],-1,0))+1</f>
        <v>18</v>
      </c>
      <c r="C32" s="31"/>
      <c r="D32" s="31"/>
      <c r="E32" s="31">
        <v>1</v>
      </c>
      <c r="F32" s="31"/>
      <c r="G32" s="31"/>
      <c r="H32" s="31"/>
      <c r="I32" s="31"/>
      <c r="J32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2" s="32">
        <f>Tabell1[[#This Row],[Totalskår]]/K$12*100</f>
        <v>14.285714285714285</v>
      </c>
      <c r="L32" s="31"/>
    </row>
    <row r="33" spans="1:12" x14ac:dyDescent="0.35">
      <c r="A33">
        <f ca="1">IF(ISNUMBER(OFFSET(Tabell1[[#This Row],[Nr]],-1,0)),OFFSET(Tabell1[[#This Row],[Nr]],-1,0))+1</f>
        <v>19</v>
      </c>
      <c r="C33" s="31">
        <v>1</v>
      </c>
      <c r="D33" s="31"/>
      <c r="E33" s="31"/>
      <c r="F33" s="31"/>
      <c r="G33" s="31"/>
      <c r="H33" s="31"/>
      <c r="I33" s="31"/>
      <c r="J33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3" s="32">
        <f>Tabell1[[#This Row],[Totalskår]]/K$12*100</f>
        <v>14.285714285714285</v>
      </c>
      <c r="L33" s="31"/>
    </row>
    <row r="34" spans="1:12" x14ac:dyDescent="0.35">
      <c r="A34">
        <f ca="1">IF(ISNUMBER(OFFSET(Tabell1[[#This Row],[Nr]],-1,0)),OFFSET(Tabell1[[#This Row],[Nr]],-1,0))+1</f>
        <v>20</v>
      </c>
      <c r="C34" s="31"/>
      <c r="D34" s="31">
        <v>1</v>
      </c>
      <c r="E34" s="31">
        <v>1</v>
      </c>
      <c r="F34" s="31">
        <v>1</v>
      </c>
      <c r="G34" s="31">
        <v>1</v>
      </c>
      <c r="H34" s="31"/>
      <c r="I34" s="31"/>
      <c r="J34">
        <f>Tabell1[[#This Row],[Verdi1]]*C$12+Tabell1[[#This Row],[Verdi2]]*D$12+Tabell1[[#This Row],[Verdi3]]*E$12+Tabell1[[#This Row],[Verdi4]]*F$12+Tabell1[[#This Row],[Verdi5]]*G$12+Tabell1[[#This Row],[Verdi6]]*H$12+Tabell1[[#This Row],[Verdi7]]*I$12</f>
        <v>4</v>
      </c>
      <c r="K34" s="32">
        <f>Tabell1[[#This Row],[Totalskår]]/K$12*100</f>
        <v>57.142857142857139</v>
      </c>
      <c r="L34" s="31"/>
    </row>
    <row r="35" spans="1:12" x14ac:dyDescent="0.35">
      <c r="A35">
        <f ca="1">IF(ISNUMBER(OFFSET(Tabell1[[#This Row],[Nr]],-1,0)),OFFSET(Tabell1[[#This Row],[Nr]],-1,0))+1</f>
        <v>21</v>
      </c>
      <c r="C35" s="31">
        <v>1</v>
      </c>
      <c r="D35" s="31"/>
      <c r="E35" s="31"/>
      <c r="F35" s="31"/>
      <c r="G35" s="31"/>
      <c r="H35" s="31"/>
      <c r="I35" s="31"/>
      <c r="J35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5" s="32">
        <f>Tabell1[[#This Row],[Totalskår]]/K$12*100</f>
        <v>14.285714285714285</v>
      </c>
      <c r="L35" s="31"/>
    </row>
  </sheetData>
  <conditionalFormatting sqref="J15:J3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{7A76901D-922B-426A-BD6D-AA77D650B80F}</x14:id>
        </ext>
      </extLst>
    </cfRule>
  </conditionalFormatting>
  <conditionalFormatting sqref="K15:K35">
    <cfRule type="dataBar" priority="1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{891A89DB-9707-4850-9E03-738C8A8EAEE9}</x14:id>
        </ext>
      </extLst>
    </cfRule>
  </conditionalFormatting>
  <pageMargins left="0.7" right="0.7" top="0.75" bottom="0.75" header="0.3" footer="0.3"/>
  <pageSetup paperSize="9" scale="62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4C9E1E3-AD9D-4450-BBFC-29E7F88877F0}">
            <x14:iconSet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5Quarters" iconId="0"/>
              <x14:cfIcon iconSet="3TrafficLights1" iconId="1"/>
              <x14:cfIcon iconSet="3TrafficLights1" iconId="2"/>
            </x14:iconSet>
          </x14:cfRule>
          <xm:sqref>C15:I35</xm:sqref>
        </x14:conditionalFormatting>
        <x14:conditionalFormatting xmlns:xm="http://schemas.microsoft.com/office/excel/2006/main">
          <x14:cfRule type="dataBar" id="{7A76901D-922B-426A-BD6D-AA77D650B8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J15:J35</xm:sqref>
        </x14:conditionalFormatting>
        <x14:conditionalFormatting xmlns:xm="http://schemas.microsoft.com/office/excel/2006/main">
          <x14:cfRule type="dataBar" id="{891A89DB-9707-4850-9E03-738C8A8EAEE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K15:K35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"/>
  <sheetViews>
    <sheetView zoomScaleNormal="100" workbookViewId="0">
      <selection activeCell="C5" sqref="C5"/>
    </sheetView>
  </sheetViews>
  <sheetFormatPr baseColWidth="10" defaultColWidth="11.453125" defaultRowHeight="14.5" x14ac:dyDescent="0.35"/>
  <sheetData>
    <row r="3" spans="1:2" x14ac:dyDescent="0.35">
      <c r="A3" t="s">
        <v>110</v>
      </c>
      <c r="B3" s="35" t="s">
        <v>111</v>
      </c>
    </row>
    <row r="4" spans="1:2" x14ac:dyDescent="0.35">
      <c r="A4" t="str">
        <f>Tabell1[[#Headers],[Verdi1]]</f>
        <v>Verdi1</v>
      </c>
      <c r="B4">
        <f>SUM(Tabell1[Verdi1])*Skåring!C$12</f>
        <v>5</v>
      </c>
    </row>
    <row r="5" spans="1:2" x14ac:dyDescent="0.35">
      <c r="A5" t="str">
        <f>Tabell1[[#Headers],[Verdi2]]</f>
        <v>Verdi2</v>
      </c>
      <c r="B5">
        <f>SUM(Tabell1[Verdi2])*Skåring!D$12</f>
        <v>3</v>
      </c>
    </row>
    <row r="6" spans="1:2" x14ac:dyDescent="0.35">
      <c r="A6" t="str">
        <f>Tabell1[[#Headers],[Verdi3]]</f>
        <v>Verdi3</v>
      </c>
      <c r="B6">
        <f>SUM(Tabell1[Verdi3])*Skåring!E$12</f>
        <v>6</v>
      </c>
    </row>
    <row r="7" spans="1:2" x14ac:dyDescent="0.35">
      <c r="A7" t="str">
        <f>Tabell1[[#Headers],[Verdi4]]</f>
        <v>Verdi4</v>
      </c>
      <c r="B7">
        <f>SUM(Tabell1[Verdi4])*Skåring!F$12</f>
        <v>8</v>
      </c>
    </row>
    <row r="8" spans="1:2" x14ac:dyDescent="0.35">
      <c r="A8" t="str">
        <f>Tabell1[[#Headers],[Verdi5]]</f>
        <v>Verdi5</v>
      </c>
      <c r="B8">
        <f>SUM(Tabell1[Verdi5])*Skåring!G$12</f>
        <v>5</v>
      </c>
    </row>
    <row r="9" spans="1:2" x14ac:dyDescent="0.35">
      <c r="A9" t="str">
        <f>Tabell1[[#Headers],[Verdi6]]</f>
        <v>Verdi6</v>
      </c>
      <c r="B9">
        <f>SUM(Tabell1[Verdi6])*Skåring!H$12</f>
        <v>1</v>
      </c>
    </row>
    <row r="10" spans="1:2" x14ac:dyDescent="0.35">
      <c r="A10" t="str">
        <f>Tabell1[[#Headers],[Verdi7]]</f>
        <v>Verdi7</v>
      </c>
      <c r="B10">
        <f>SUM(Tabell1[Verdi7])*Skåring!I$12</f>
        <v>0</v>
      </c>
    </row>
  </sheetData>
  <pageMargins left="0.7" right="0.7" top="0.75" bottom="0.75" header="0.3" footer="0.3"/>
  <pageSetup paperSize="9" scale="84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10"/>
  <sheetViews>
    <sheetView zoomScaleNormal="100" workbookViewId="0">
      <selection activeCell="C21" sqref="C21"/>
    </sheetView>
  </sheetViews>
  <sheetFormatPr baseColWidth="10" defaultColWidth="11.453125" defaultRowHeight="14.5" x14ac:dyDescent="0.35"/>
  <sheetData>
    <row r="3" spans="1:2" x14ac:dyDescent="0.35">
      <c r="A3" t="s">
        <v>110</v>
      </c>
      <c r="B3" s="35" t="s">
        <v>111</v>
      </c>
    </row>
    <row r="4" spans="1:2" x14ac:dyDescent="0.35">
      <c r="A4" t="str">
        <f>Tabell1[[#Headers],[Verdi1]]</f>
        <v>Verdi1</v>
      </c>
      <c r="B4">
        <f>(ROWS(Tabell1[])-SUM(Tabell1[Verdi1]))*Skåring!C$12</f>
        <v>16</v>
      </c>
    </row>
    <row r="5" spans="1:2" x14ac:dyDescent="0.35">
      <c r="A5" t="str">
        <f>Tabell1[[#Headers],[Verdi2]]</f>
        <v>Verdi2</v>
      </c>
      <c r="B5">
        <f>(ROWS(Tabell1[])-SUM(Tabell1[Verdi2]))*Skåring!D$12</f>
        <v>18</v>
      </c>
    </row>
    <row r="6" spans="1:2" x14ac:dyDescent="0.35">
      <c r="A6" t="str">
        <f>Tabell1[[#Headers],[Verdi3]]</f>
        <v>Verdi3</v>
      </c>
      <c r="B6">
        <f>(ROWS(Tabell1[])-SUM(Tabell1[Verdi3]))*Skåring!E$12</f>
        <v>15</v>
      </c>
    </row>
    <row r="7" spans="1:2" x14ac:dyDescent="0.35">
      <c r="A7" t="str">
        <f>Tabell1[[#Headers],[Verdi4]]</f>
        <v>Verdi4</v>
      </c>
      <c r="B7">
        <f>(ROWS(Tabell1[])-SUM(Tabell1[Verdi4]))*Skåring!F$12</f>
        <v>13</v>
      </c>
    </row>
    <row r="8" spans="1:2" x14ac:dyDescent="0.35">
      <c r="A8" t="str">
        <f>Tabell1[[#Headers],[Verdi5]]</f>
        <v>Verdi5</v>
      </c>
      <c r="B8">
        <f>(ROWS(Tabell1[])-SUM(Tabell1[Verdi5]))*Skåring!G$12</f>
        <v>16</v>
      </c>
    </row>
    <row r="9" spans="1:2" x14ac:dyDescent="0.35">
      <c r="A9" t="str">
        <f>Tabell1[[#Headers],[Verdi6]]</f>
        <v>Verdi6</v>
      </c>
      <c r="B9">
        <f>(ROWS(Tabell1[])-SUM(Tabell1[Verdi6]))*Skåring!H$12</f>
        <v>20</v>
      </c>
    </row>
    <row r="10" spans="1:2" x14ac:dyDescent="0.35">
      <c r="A10" t="str">
        <f>Tabell1[[#Headers],[Verdi7]]</f>
        <v>Verdi7</v>
      </c>
      <c r="B10">
        <f>(ROWS(Tabell1[])-SUM(Tabell1[Verdi7]))*Skåring!I$12</f>
        <v>21</v>
      </c>
    </row>
  </sheetData>
  <pageMargins left="0.7" right="0.7" top="0.75" bottom="0.75" header="0.3" footer="0.3"/>
  <pageSetup paperSize="9" scale="84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2" sqref="B12"/>
    </sheetView>
  </sheetViews>
  <sheetFormatPr baseColWidth="10" defaultColWidth="11.453125" defaultRowHeight="14.5" x14ac:dyDescent="0.35"/>
  <sheetData>
    <row r="1" spans="1:2" ht="23.5" x14ac:dyDescent="0.55000000000000004">
      <c r="A1" s="1" t="s">
        <v>112</v>
      </c>
    </row>
    <row r="2" spans="1:2" x14ac:dyDescent="0.35">
      <c r="A2" s="4">
        <v>44939</v>
      </c>
      <c r="B2" t="s">
        <v>113</v>
      </c>
    </row>
    <row r="3" spans="1:2" x14ac:dyDescent="0.35">
      <c r="A3" s="4">
        <v>44977</v>
      </c>
      <c r="B3" t="s">
        <v>114</v>
      </c>
    </row>
    <row r="4" spans="1:2" x14ac:dyDescent="0.35">
      <c r="A4" s="4">
        <v>45029</v>
      </c>
      <c r="B4" t="s">
        <v>115</v>
      </c>
    </row>
    <row r="5" spans="1:2" x14ac:dyDescent="0.35">
      <c r="A5" s="4">
        <v>45030</v>
      </c>
      <c r="B5" t="s">
        <v>116</v>
      </c>
    </row>
    <row r="6" spans="1:2" x14ac:dyDescent="0.35">
      <c r="A6" s="4">
        <v>45141</v>
      </c>
      <c r="B6" t="s">
        <v>117</v>
      </c>
    </row>
    <row r="7" spans="1:2" x14ac:dyDescent="0.35">
      <c r="A7" s="4">
        <v>45345</v>
      </c>
      <c r="B7" t="s">
        <v>118</v>
      </c>
    </row>
    <row r="8" spans="1:2" x14ac:dyDescent="0.35">
      <c r="A8" s="4">
        <v>45345</v>
      </c>
      <c r="B8" t="s">
        <v>119</v>
      </c>
    </row>
    <row r="9" spans="1:2" x14ac:dyDescent="0.35">
      <c r="A9" s="4">
        <v>45345</v>
      </c>
      <c r="B9" t="s">
        <v>120</v>
      </c>
    </row>
    <row r="10" spans="1:2" x14ac:dyDescent="0.35">
      <c r="A10" s="4">
        <v>45476</v>
      </c>
      <c r="B10" t="s">
        <v>121</v>
      </c>
    </row>
    <row r="11" spans="1:2" x14ac:dyDescent="0.35">
      <c r="A11" s="4">
        <v>45476</v>
      </c>
      <c r="B11" t="s">
        <v>122</v>
      </c>
    </row>
    <row r="12" spans="1:2" x14ac:dyDescent="0.35">
      <c r="A12" s="4">
        <v>45582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8A6AFE100AC04893A8398053EC507E" ma:contentTypeVersion="19" ma:contentTypeDescription="Opprett et nytt dokument." ma:contentTypeScope="" ma:versionID="8008b3d70b415fe8655af6e2539ecdbc">
  <xsd:schema xmlns:xsd="http://www.w3.org/2001/XMLSchema" xmlns:xs="http://www.w3.org/2001/XMLSchema" xmlns:p="http://schemas.microsoft.com/office/2006/metadata/properties" xmlns:ns2="3cc8c0b8-36bb-4877-9579-e432d427316a" xmlns:ns3="1bfe2035-de25-4a70-bbac-e87eca0bdd5d" targetNamespace="http://schemas.microsoft.com/office/2006/metadata/properties" ma:root="true" ma:fieldsID="7a7dbd955ab8d4d3ecec6db39bf5fd80" ns2:_="" ns3:_="">
    <xsd:import namespace="3cc8c0b8-36bb-4877-9579-e432d427316a"/>
    <xsd:import namespace="1bfe2035-de25-4a70-bbac-e87eca0bd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Rekkef_x00f8_lg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8c0b8-36bb-4877-9579-e432d4273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kkef_x00f8_lge" ma:index="18" nillable="true" ma:displayName="Rekkefølge" ma:format="Dropdown" ma:internalName="Rekkef_x00f8_lge" ma:percentage="FALSE">
      <xsd:simpleType>
        <xsd:restriction base="dms:Number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bbe3d436-fbfd-41cc-af34-671200448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2035-de25-4a70-bbac-e87eca0bd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8faba-198c-4176-98f5-d546fa374a9a}" ma:internalName="TaxCatchAll" ma:showField="CatchAllData" ma:web="1bfe2035-de25-4a70-bbac-e87eca0bd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c8c0b8-36bb-4877-9579-e432d427316a">
      <Terms xmlns="http://schemas.microsoft.com/office/infopath/2007/PartnerControls"/>
    </lcf76f155ced4ddcb4097134ff3c332f>
    <TaxCatchAll xmlns="1bfe2035-de25-4a70-bbac-e87eca0bdd5d" xsi:nil="true"/>
    <Rekkef_x00f8_lge xmlns="3cc8c0b8-36bb-4877-9579-e432d427316a" xsi:nil="true"/>
  </documentManagement>
</p:properties>
</file>

<file path=customXml/itemProps1.xml><?xml version="1.0" encoding="utf-8"?>
<ds:datastoreItem xmlns:ds="http://schemas.openxmlformats.org/officeDocument/2006/customXml" ds:itemID="{5024B590-AEE5-4830-8DDE-A3B8962C9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8c0b8-36bb-4877-9579-e432d427316a"/>
    <ds:schemaRef ds:uri="1bfe2035-de25-4a70-bbac-e87eca0bd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566E0-946E-4095-8C2F-DBD416328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37790C-076A-4E31-8594-E0DA29F3A040}">
  <ds:schemaRefs>
    <ds:schemaRef ds:uri="8f3d7daa-3ab8-4ac7-96d2-54ecedd3d276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ea908836-1511-4c2c-a266-c1685eeb16ee"/>
    <ds:schemaRef ds:uri="http://www.w3.org/XML/1998/namespace"/>
    <ds:schemaRef ds:uri="http://purl.org/dc/terms/"/>
    <ds:schemaRef ds:uri="3cc8c0b8-36bb-4877-9579-e432d427316a"/>
    <ds:schemaRef ds:uri="1bfe2035-de25-4a70-bbac-e87eca0bdd5d"/>
  </ds:schemaRefs>
</ds:datastoreItem>
</file>

<file path=docMetadata/LabelInfo.xml><?xml version="1.0" encoding="utf-8"?>
<clbl:labelList xmlns:clbl="http://schemas.microsoft.com/office/2020/mipLabelMetadata">
  <clbl:label id="{5b906c1f-19d2-4ac1-bea8-1ddf524e35b3}" enabled="1" method="Standard" siteId="{7f8e4cf0-71fb-489c-a336-3f9252a639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SPC</vt:lpstr>
      <vt:lpstr>Skåring</vt:lpstr>
      <vt:lpstr>Pareto</vt:lpstr>
      <vt:lpstr>Pareto-negativ</vt:lpstr>
      <vt:lpstr>Info</vt:lpstr>
      <vt:lpstr>SPC!Utskriftsområde</vt:lpstr>
    </vt:vector>
  </TitlesOfParts>
  <Manager/>
  <Company>Helse Sør-Øst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Pål Jostein Didriksen</dc:creator>
  <cp:keywords/>
  <dc:description/>
  <cp:lastModifiedBy>Åse Stavland Lexberg</cp:lastModifiedBy>
  <cp:revision/>
  <dcterms:created xsi:type="dcterms:W3CDTF">2022-10-25T06:39:51Z</dcterms:created>
  <dcterms:modified xsi:type="dcterms:W3CDTF">2025-03-19T11:42:58Z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0x0101004D8A6AFE100AC04893A8398053EC507E</vt:lpwstr>
  </property>
  <property fmtid="{D5CDD505-2E9C-101B-9397-08002B2CF9AE}" pid="3" name="MediaServiceImageTags">
    <vt:lpwstr/>
  </property>
</Properties>
</file>