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hsorhf.sharepoint.com/sites/VVHF-X-Teamkontinuerligforbedring/Shared Documents/Opplæringsprogrammer og aktivteter/NY Tilpasset opplæring/Mini Læringsnettverk Nasjonale kvalitetsregistre - NorArtritt og NorVas 2025/Webinar 3/"/>
    </mc:Choice>
  </mc:AlternateContent>
  <xr:revisionPtr revIDLastSave="0" documentId="8_{77103100-896B-49AE-887E-502BF41FB4D9}" xr6:coauthVersionLast="47" xr6:coauthVersionMax="47" xr10:uidLastSave="{00000000-0000-0000-0000-000000000000}"/>
  <bookViews>
    <workbookView xWindow="-110" yWindow="-110" windowWidth="19420" windowHeight="10300" tabRatio="496" xr2:uid="{00000000-000D-0000-FFFF-FFFF00000000}"/>
  </bookViews>
  <sheets>
    <sheet name="SPC" sheetId="5" r:id="rId1"/>
    <sheet name="Skåring" sheetId="8" r:id="rId2"/>
    <sheet name="Pareto" sheetId="9" r:id="rId3"/>
    <sheet name="Pareto-negativ" sheetId="10" r:id="rId4"/>
    <sheet name="Info" sheetId="7" r:id="rId5"/>
  </sheets>
  <definedNames>
    <definedName name="_xlchart.v1.0" hidden="1">Pareto!$A$4:$A$10</definedName>
    <definedName name="_xlchart.v1.1" hidden="1">Pareto!$B$3</definedName>
    <definedName name="_xlchart.v1.2" hidden="1">Pareto!$B$4:$B$10</definedName>
    <definedName name="_xlchart.v1.3" hidden="1">'Pareto-negativ'!$A$4:$A$10</definedName>
    <definedName name="_xlchart.v1.4" hidden="1">'Pareto-negativ'!$B$3</definedName>
    <definedName name="_xlchart.v1.5" hidden="1">'Pareto-negativ'!$B$4:$B$10</definedName>
    <definedName name="_xlnm.Print_Area" localSheetId="0">SPC!$A:$CF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" i="5" l="1"/>
  <c r="I47" i="5"/>
  <c r="BN47" i="5"/>
  <c r="BO47" i="5"/>
  <c r="BQ47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BN34" i="5"/>
  <c r="BN35" i="5"/>
  <c r="BN36" i="5"/>
  <c r="BN37" i="5"/>
  <c r="BN38" i="5"/>
  <c r="BN39" i="5"/>
  <c r="BN40" i="5"/>
  <c r="BN41" i="5"/>
  <c r="BN42" i="5"/>
  <c r="BN43" i="5"/>
  <c r="BN44" i="5"/>
  <c r="BN45" i="5"/>
  <c r="BN46" i="5"/>
  <c r="BO34" i="5"/>
  <c r="AZ34" i="5" s="1"/>
  <c r="BO35" i="5"/>
  <c r="BO36" i="5"/>
  <c r="BP36" i="5" s="1"/>
  <c r="BO37" i="5"/>
  <c r="BO38" i="5"/>
  <c r="BO39" i="5"/>
  <c r="BO40" i="5"/>
  <c r="BO41" i="5"/>
  <c r="BP41" i="5" s="1"/>
  <c r="BO42" i="5"/>
  <c r="BO43" i="5"/>
  <c r="AZ43" i="5" s="1"/>
  <c r="BO44" i="5"/>
  <c r="BP44" i="5" s="1"/>
  <c r="BO45" i="5"/>
  <c r="BP45" i="5" s="1"/>
  <c r="BO46" i="5"/>
  <c r="BQ34" i="5"/>
  <c r="BQ35" i="5"/>
  <c r="BQ36" i="5"/>
  <c r="BQ37" i="5"/>
  <c r="BQ38" i="5"/>
  <c r="BQ39" i="5"/>
  <c r="BQ40" i="5"/>
  <c r="BQ41" i="5"/>
  <c r="BQ42" i="5"/>
  <c r="BQ43" i="5"/>
  <c r="BQ44" i="5"/>
  <c r="BQ45" i="5"/>
  <c r="BQ46" i="5"/>
  <c r="H33" i="5"/>
  <c r="I33" i="5"/>
  <c r="BN33" i="5"/>
  <c r="BO33" i="5"/>
  <c r="BP33" i="5" s="1"/>
  <c r="BQ33" i="5"/>
  <c r="H32" i="5"/>
  <c r="I32" i="5"/>
  <c r="BN32" i="5"/>
  <c r="BO32" i="5"/>
  <c r="BP32" i="5" s="1"/>
  <c r="BQ32" i="5"/>
  <c r="H31" i="5"/>
  <c r="I31" i="5"/>
  <c r="BN31" i="5"/>
  <c r="BO31" i="5"/>
  <c r="BQ31" i="5"/>
  <c r="H30" i="5"/>
  <c r="I30" i="5"/>
  <c r="BN30" i="5"/>
  <c r="BO30" i="5"/>
  <c r="BQ30" i="5"/>
  <c r="H29" i="5"/>
  <c r="I29" i="5"/>
  <c r="BN29" i="5"/>
  <c r="BO29" i="5"/>
  <c r="BP29" i="5" s="1"/>
  <c r="BQ29" i="5"/>
  <c r="H28" i="5"/>
  <c r="I28" i="5"/>
  <c r="BN28" i="5"/>
  <c r="BO28" i="5"/>
  <c r="AZ28" i="5" s="1"/>
  <c r="BQ28" i="5"/>
  <c r="H27" i="5"/>
  <c r="I27" i="5"/>
  <c r="BN27" i="5"/>
  <c r="BO27" i="5"/>
  <c r="BQ27" i="5"/>
  <c r="H26" i="5"/>
  <c r="I26" i="5"/>
  <c r="BN26" i="5"/>
  <c r="BO26" i="5"/>
  <c r="BQ26" i="5"/>
  <c r="H25" i="5"/>
  <c r="I25" i="5"/>
  <c r="BN25" i="5"/>
  <c r="BO25" i="5"/>
  <c r="BQ25" i="5"/>
  <c r="H24" i="5"/>
  <c r="I24" i="5"/>
  <c r="BN24" i="5"/>
  <c r="BO24" i="5"/>
  <c r="BP24" i="5" s="1"/>
  <c r="BQ24" i="5"/>
  <c r="H23" i="5"/>
  <c r="I23" i="5"/>
  <c r="BN23" i="5"/>
  <c r="BO23" i="5"/>
  <c r="BP23" i="5" s="1"/>
  <c r="BQ23" i="5"/>
  <c r="H22" i="5"/>
  <c r="I22" i="5"/>
  <c r="BN22" i="5"/>
  <c r="BO22" i="5"/>
  <c r="BP22" i="5" s="1"/>
  <c r="BQ22" i="5"/>
  <c r="H21" i="5"/>
  <c r="I21" i="5"/>
  <c r="BN21" i="5"/>
  <c r="BO21" i="5"/>
  <c r="BP21" i="5" s="1"/>
  <c r="BQ21" i="5"/>
  <c r="H20" i="5"/>
  <c r="I20" i="5"/>
  <c r="BN20" i="5"/>
  <c r="BO20" i="5"/>
  <c r="BP20" i="5" s="1"/>
  <c r="BQ20" i="5"/>
  <c r="H19" i="5"/>
  <c r="I19" i="5"/>
  <c r="BN19" i="5"/>
  <c r="BO19" i="5"/>
  <c r="BP19" i="5" s="1"/>
  <c r="BQ19" i="5"/>
  <c r="H18" i="5"/>
  <c r="I18" i="5"/>
  <c r="BN18" i="5"/>
  <c r="BO18" i="5"/>
  <c r="BP18" i="5" s="1"/>
  <c r="BQ18" i="5"/>
  <c r="H17" i="5"/>
  <c r="I17" i="5"/>
  <c r="BN17" i="5"/>
  <c r="BO17" i="5"/>
  <c r="BP17" i="5" s="1"/>
  <c r="BQ17" i="5"/>
  <c r="H16" i="5"/>
  <c r="I16" i="5"/>
  <c r="BN16" i="5"/>
  <c r="BO16" i="5"/>
  <c r="BP16" i="5"/>
  <c r="BQ16" i="5"/>
  <c r="I15" i="5"/>
  <c r="BP46" i="5" l="1"/>
  <c r="M47" i="5" s="1"/>
  <c r="AZ46" i="5"/>
  <c r="AZ47" i="5" s="1"/>
  <c r="AZ42" i="5"/>
  <c r="BP42" i="5"/>
  <c r="M43" i="5" s="1"/>
  <c r="M42" i="5"/>
  <c r="AZ45" i="5"/>
  <c r="AZ26" i="5"/>
  <c r="BP26" i="5"/>
  <c r="M27" i="5" s="1"/>
  <c r="AZ31" i="5"/>
  <c r="BP31" i="5"/>
  <c r="M32" i="5" s="1"/>
  <c r="AZ44" i="5"/>
  <c r="M46" i="5"/>
  <c r="BP38" i="5"/>
  <c r="M39" i="5" s="1"/>
  <c r="BP39" i="5"/>
  <c r="M40" i="5" s="1"/>
  <c r="AZ39" i="5"/>
  <c r="M33" i="5"/>
  <c r="M37" i="5"/>
  <c r="M34" i="5"/>
  <c r="AZ27" i="5"/>
  <c r="BP27" i="5"/>
  <c r="BP40" i="5"/>
  <c r="M41" i="5" s="1"/>
  <c r="AZ40" i="5"/>
  <c r="BP37" i="5"/>
  <c r="M38" i="5" s="1"/>
  <c r="AZ30" i="5"/>
  <c r="BP30" i="5"/>
  <c r="M31" i="5" s="1"/>
  <c r="BP35" i="5"/>
  <c r="M36" i="5" s="1"/>
  <c r="AZ37" i="5"/>
  <c r="AZ38" i="5" s="1"/>
  <c r="AZ36" i="5"/>
  <c r="AZ35" i="5"/>
  <c r="BP34" i="5"/>
  <c r="M35" i="5" s="1"/>
  <c r="M45" i="5"/>
  <c r="BP43" i="5"/>
  <c r="M44" i="5" s="1"/>
  <c r="AZ41" i="5"/>
  <c r="BP25" i="5"/>
  <c r="M26" i="5" s="1"/>
  <c r="AZ33" i="5"/>
  <c r="AZ32" i="5"/>
  <c r="M30" i="5"/>
  <c r="M28" i="5"/>
  <c r="AZ29" i="5"/>
  <c r="BP28" i="5"/>
  <c r="M29" i="5" s="1"/>
  <c r="M25" i="5"/>
  <c r="M24" i="5"/>
  <c r="M23" i="5"/>
  <c r="AZ24" i="5"/>
  <c r="AZ25" i="5" s="1"/>
  <c r="M22" i="5"/>
  <c r="AZ23" i="5"/>
  <c r="M21" i="5"/>
  <c r="AZ22" i="5"/>
  <c r="AZ21" i="5"/>
  <c r="M20" i="5"/>
  <c r="AZ20" i="5"/>
  <c r="M19" i="5"/>
  <c r="M18" i="5"/>
  <c r="AZ19" i="5"/>
  <c r="M17" i="5"/>
  <c r="AZ18" i="5"/>
  <c r="AZ17" i="5"/>
  <c r="AZ16" i="5"/>
  <c r="BP47" i="5" l="1"/>
  <c r="BV12" i="5"/>
  <c r="BN15" i="5" l="1"/>
  <c r="BQ15" i="5"/>
  <c r="BO15" i="5"/>
  <c r="AZ15" i="5" l="1"/>
  <c r="BA47" i="5" s="1"/>
  <c r="BP15" i="5"/>
  <c r="M16" i="5" s="1"/>
  <c r="M15" i="5"/>
  <c r="BB47" i="5" l="1"/>
  <c r="BF47" i="5" s="1"/>
  <c r="BA45" i="5"/>
  <c r="BA46" i="5"/>
  <c r="BA34" i="5"/>
  <c r="BA42" i="5"/>
  <c r="BA44" i="5"/>
  <c r="BA43" i="5"/>
  <c r="BA38" i="5"/>
  <c r="BA39" i="5"/>
  <c r="BA41" i="5"/>
  <c r="BA35" i="5"/>
  <c r="BA36" i="5"/>
  <c r="BA37" i="5"/>
  <c r="BA40" i="5"/>
  <c r="BA32" i="5"/>
  <c r="BA33" i="5"/>
  <c r="BA30" i="5"/>
  <c r="BA31" i="5"/>
  <c r="BA28" i="5"/>
  <c r="BA29" i="5"/>
  <c r="BA26" i="5"/>
  <c r="BA27" i="5"/>
  <c r="BA24" i="5"/>
  <c r="BA25" i="5"/>
  <c r="BA22" i="5"/>
  <c r="BA23" i="5"/>
  <c r="BA20" i="5"/>
  <c r="BA21" i="5"/>
  <c r="BA18" i="5"/>
  <c r="BA19" i="5"/>
  <c r="BA16" i="5"/>
  <c r="BA17" i="5"/>
  <c r="AW15" i="5"/>
  <c r="AW16" i="5" s="1"/>
  <c r="AW17" i="5" s="1"/>
  <c r="AW18" i="5" s="1"/>
  <c r="AW19" i="5" s="1"/>
  <c r="AW20" i="5" s="1"/>
  <c r="AW21" i="5" s="1"/>
  <c r="AW22" i="5" s="1"/>
  <c r="AW23" i="5" s="1"/>
  <c r="AW24" i="5" s="1"/>
  <c r="AW25" i="5" s="1"/>
  <c r="AW26" i="5" s="1"/>
  <c r="AW27" i="5" s="1"/>
  <c r="AW28" i="5" s="1"/>
  <c r="AW29" i="5" s="1"/>
  <c r="AW30" i="5" s="1"/>
  <c r="AW31" i="5" s="1"/>
  <c r="AW32" i="5" s="1"/>
  <c r="AW33" i="5" s="1"/>
  <c r="AW34" i="5" s="1"/>
  <c r="BB34" i="5" l="1"/>
  <c r="BB46" i="5"/>
  <c r="BB40" i="5"/>
  <c r="BB37" i="5"/>
  <c r="BB36" i="5"/>
  <c r="BB35" i="5"/>
  <c r="BB41" i="5"/>
  <c r="BB39" i="5"/>
  <c r="BB38" i="5"/>
  <c r="BB43" i="5"/>
  <c r="BB44" i="5"/>
  <c r="AW35" i="5"/>
  <c r="BB42" i="5"/>
  <c r="BB45" i="5"/>
  <c r="BB22" i="5"/>
  <c r="BC22" i="5" s="1"/>
  <c r="BB32" i="5"/>
  <c r="BC32" i="5" s="1"/>
  <c r="AY33" i="5"/>
  <c r="BB30" i="5"/>
  <c r="BC30" i="5" s="1"/>
  <c r="BB33" i="5"/>
  <c r="AY32" i="5"/>
  <c r="BB31" i="5"/>
  <c r="AY31" i="5"/>
  <c r="BI30" i="5"/>
  <c r="AY30" i="5"/>
  <c r="BH30" i="5"/>
  <c r="BB28" i="5"/>
  <c r="BC28" i="5" s="1"/>
  <c r="BB18" i="5"/>
  <c r="BC18" i="5" s="1"/>
  <c r="BB29" i="5"/>
  <c r="BI29" i="5"/>
  <c r="AY29" i="5"/>
  <c r="BH29" i="5"/>
  <c r="BB26" i="5"/>
  <c r="BD26" i="5" s="1"/>
  <c r="AY28" i="5"/>
  <c r="AY27" i="5"/>
  <c r="BB27" i="5"/>
  <c r="AY26" i="5"/>
  <c r="BB24" i="5"/>
  <c r="BC24" i="5" s="1"/>
  <c r="BB25" i="5"/>
  <c r="AY25" i="5"/>
  <c r="AY24" i="5"/>
  <c r="AY23" i="5"/>
  <c r="BB23" i="5"/>
  <c r="BD23" i="5" s="1"/>
  <c r="AY22" i="5"/>
  <c r="BB20" i="5"/>
  <c r="BD20" i="5" s="1"/>
  <c r="AY21" i="5"/>
  <c r="BB21" i="5"/>
  <c r="AY20" i="5"/>
  <c r="AY19" i="5"/>
  <c r="BB19" i="5"/>
  <c r="BC19" i="5" s="1"/>
  <c r="AY18" i="5"/>
  <c r="BB16" i="5"/>
  <c r="BB17" i="5"/>
  <c r="AY17" i="5"/>
  <c r="BH17" i="5"/>
  <c r="BI17" i="5"/>
  <c r="AY16" i="5"/>
  <c r="BH16" i="5"/>
  <c r="BI16" i="5"/>
  <c r="BH15" i="5"/>
  <c r="BI15" i="5"/>
  <c r="B10" i="10"/>
  <c r="B9" i="10"/>
  <c r="B8" i="10"/>
  <c r="B7" i="10"/>
  <c r="B6" i="10"/>
  <c r="B5" i="10"/>
  <c r="B4" i="10"/>
  <c r="A10" i="10"/>
  <c r="A9" i="10"/>
  <c r="A8" i="10"/>
  <c r="A7" i="10"/>
  <c r="A6" i="10"/>
  <c r="A5" i="10"/>
  <c r="A4" i="10"/>
  <c r="B10" i="9"/>
  <c r="B9" i="9"/>
  <c r="B8" i="9"/>
  <c r="B7" i="9"/>
  <c r="B6" i="9"/>
  <c r="B5" i="9"/>
  <c r="B4" i="9"/>
  <c r="A10" i="9"/>
  <c r="A9" i="9"/>
  <c r="A8" i="9"/>
  <c r="A7" i="9"/>
  <c r="A6" i="9"/>
  <c r="A5" i="9"/>
  <c r="A4" i="9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K21" i="8" s="1"/>
  <c r="J20" i="8"/>
  <c r="J19" i="8"/>
  <c r="K12" i="8"/>
  <c r="K35" i="8" s="1"/>
  <c r="J15" i="8"/>
  <c r="J16" i="8"/>
  <c r="J17" i="8"/>
  <c r="J18" i="8"/>
  <c r="K18" i="8" s="1"/>
  <c r="A15" i="8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BC25" i="5" l="1"/>
  <c r="BC26" i="5" s="1"/>
  <c r="BE26" i="5" s="1"/>
  <c r="BF46" i="5"/>
  <c r="BF45" i="5"/>
  <c r="BF38" i="5"/>
  <c r="BF39" i="5"/>
  <c r="BF37" i="5"/>
  <c r="BF33" i="5"/>
  <c r="BF40" i="5"/>
  <c r="BF41" i="5"/>
  <c r="AW36" i="5"/>
  <c r="AY34" i="5"/>
  <c r="BF44" i="5"/>
  <c r="BF35" i="5"/>
  <c r="BF42" i="5"/>
  <c r="BF34" i="5"/>
  <c r="BC35" i="5"/>
  <c r="BD34" i="5"/>
  <c r="BD35" i="5" s="1"/>
  <c r="BF43" i="5"/>
  <c r="BF36" i="5"/>
  <c r="BD33" i="5"/>
  <c r="BC31" i="5"/>
  <c r="BF31" i="5"/>
  <c r="BC33" i="5"/>
  <c r="BF29" i="5"/>
  <c r="BF32" i="5"/>
  <c r="BD31" i="5"/>
  <c r="BF30" i="5"/>
  <c r="BC29" i="5"/>
  <c r="BF28" i="5"/>
  <c r="BF27" i="5"/>
  <c r="BD27" i="5"/>
  <c r="BD28" i="5" s="1"/>
  <c r="BF25" i="5"/>
  <c r="BC27" i="5"/>
  <c r="BF23" i="5"/>
  <c r="BK27" i="5"/>
  <c r="BJ27" i="5"/>
  <c r="BD24" i="5"/>
  <c r="BE24" i="5" s="1"/>
  <c r="BF26" i="5"/>
  <c r="BK26" i="5"/>
  <c r="BJ26" i="5"/>
  <c r="BF21" i="5"/>
  <c r="BK25" i="5"/>
  <c r="BJ25" i="5"/>
  <c r="BC23" i="5"/>
  <c r="BE23" i="5" s="1"/>
  <c r="BF24" i="5"/>
  <c r="BC20" i="5"/>
  <c r="BE20" i="5" s="1"/>
  <c r="BF19" i="5"/>
  <c r="BF22" i="5"/>
  <c r="BD21" i="5"/>
  <c r="BD22" i="5" s="1"/>
  <c r="BE22" i="5" s="1"/>
  <c r="BF20" i="5"/>
  <c r="BF17" i="5"/>
  <c r="BF18" i="5"/>
  <c r="BF16" i="5"/>
  <c r="BD17" i="5"/>
  <c r="BD18" i="5" s="1"/>
  <c r="K25" i="8"/>
  <c r="K29" i="8"/>
  <c r="K33" i="8"/>
  <c r="K22" i="8"/>
  <c r="K26" i="8"/>
  <c r="K30" i="8"/>
  <c r="K17" i="8"/>
  <c r="K19" i="8"/>
  <c r="K23" i="8"/>
  <c r="K27" i="8"/>
  <c r="K31" i="8"/>
  <c r="K34" i="8"/>
  <c r="K16" i="8"/>
  <c r="K20" i="8"/>
  <c r="K24" i="8"/>
  <c r="K28" i="8"/>
  <c r="K32" i="8"/>
  <c r="K15" i="8"/>
  <c r="BE35" i="5" l="1"/>
  <c r="BE33" i="5"/>
  <c r="BC34" i="5"/>
  <c r="BE34" i="5" s="1"/>
  <c r="AW37" i="5"/>
  <c r="AY35" i="5"/>
  <c r="BD36" i="5"/>
  <c r="BC36" i="5"/>
  <c r="BE31" i="5"/>
  <c r="BD32" i="5"/>
  <c r="BE32" i="5" s="1"/>
  <c r="BE27" i="5"/>
  <c r="BE28" i="5"/>
  <c r="BD29" i="5"/>
  <c r="BD25" i="5"/>
  <c r="BE25" i="5" s="1"/>
  <c r="BC21" i="5"/>
  <c r="BE21" i="5" s="1"/>
  <c r="BE18" i="5"/>
  <c r="BD19" i="5"/>
  <c r="BE19" i="5" s="1"/>
  <c r="CA12" i="5"/>
  <c r="BG19" i="5"/>
  <c r="BG20" i="5"/>
  <c r="BG21" i="5"/>
  <c r="BG22" i="5"/>
  <c r="BG18" i="5"/>
  <c r="BE36" i="5" l="1"/>
  <c r="AY36" i="5"/>
  <c r="AW38" i="5"/>
  <c r="BD37" i="5"/>
  <c r="BC37" i="5"/>
  <c r="BE29" i="5"/>
  <c r="BD30" i="5"/>
  <c r="BE30" i="5" s="1"/>
  <c r="CD3" i="5"/>
  <c r="BG27" i="5"/>
  <c r="BG24" i="5"/>
  <c r="BG31" i="5"/>
  <c r="BG30" i="5"/>
  <c r="BG26" i="5"/>
  <c r="BG28" i="5"/>
  <c r="BG29" i="5"/>
  <c r="BG23" i="5"/>
  <c r="BG25" i="5"/>
  <c r="BE37" i="5" l="1"/>
  <c r="AY37" i="5"/>
  <c r="AW39" i="5"/>
  <c r="BD38" i="5"/>
  <c r="BC38" i="5"/>
  <c r="CD7" i="5"/>
  <c r="CD8" i="5"/>
  <c r="CD6" i="5"/>
  <c r="CE5" i="5" s="1"/>
  <c r="CD5" i="5"/>
  <c r="CD10" i="5"/>
  <c r="CD11" i="5"/>
  <c r="CD9" i="5"/>
  <c r="CD12" i="5"/>
  <c r="CD4" i="5"/>
  <c r="BE38" i="5" l="1"/>
  <c r="AW40" i="5"/>
  <c r="AY38" i="5"/>
  <c r="BC39" i="5"/>
  <c r="BD39" i="5"/>
  <c r="CE4" i="5"/>
  <c r="CE3" i="5"/>
  <c r="CE11" i="5"/>
  <c r="BV11" i="5"/>
  <c r="BX10" i="5" s="1"/>
  <c r="CE10" i="5"/>
  <c r="BV10" i="5"/>
  <c r="CE8" i="5"/>
  <c r="CE9" i="5"/>
  <c r="CE6" i="5"/>
  <c r="CE7" i="5"/>
  <c r="A15" i="5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H15" i="5"/>
  <c r="BV3" i="5"/>
  <c r="BZ3" i="5"/>
  <c r="BG32" i="5"/>
  <c r="BY3" i="5"/>
  <c r="BY10" i="5"/>
  <c r="A35" i="5" l="1"/>
  <c r="BE39" i="5"/>
  <c r="AY39" i="5"/>
  <c r="AW41" i="5"/>
  <c r="BC40" i="5"/>
  <c r="BD40" i="5"/>
  <c r="BY12" i="5"/>
  <c r="BZ10" i="5"/>
  <c r="BG33" i="5"/>
  <c r="BE40" i="5" l="1"/>
  <c r="AY40" i="5"/>
  <c r="AW42" i="5"/>
  <c r="BD41" i="5"/>
  <c r="BC41" i="5"/>
  <c r="A36" i="5"/>
  <c r="BW12" i="5"/>
  <c r="BG34" i="5"/>
  <c r="A37" i="5" l="1"/>
  <c r="BE41" i="5"/>
  <c r="AY41" i="5"/>
  <c r="AW43" i="5"/>
  <c r="BD42" i="5"/>
  <c r="BC42" i="5"/>
  <c r="BZ12" i="5"/>
  <c r="CC9" i="5"/>
  <c r="CC7" i="5"/>
  <c r="CC11" i="5"/>
  <c r="CC8" i="5"/>
  <c r="CC10" i="5"/>
  <c r="BZ11" i="5"/>
  <c r="BG35" i="5"/>
  <c r="BE42" i="5" l="1"/>
  <c r="A38" i="5"/>
  <c r="AY42" i="5"/>
  <c r="AW44" i="5"/>
  <c r="BD43" i="5"/>
  <c r="BC43" i="5"/>
  <c r="AY15" i="5"/>
  <c r="BZ4" i="5"/>
  <c r="BG36" i="5"/>
  <c r="BV4" i="5"/>
  <c r="BY4" i="5"/>
  <c r="BE43" i="5" l="1"/>
  <c r="AW45" i="5"/>
  <c r="AY43" i="5"/>
  <c r="BD44" i="5"/>
  <c r="BC44" i="5"/>
  <c r="A39" i="5"/>
  <c r="BX9" i="5"/>
  <c r="BU10" i="5"/>
  <c r="BG37" i="5"/>
  <c r="BG38" i="5"/>
  <c r="CC5" i="5"/>
  <c r="CC3" i="5"/>
  <c r="CC6" i="5"/>
  <c r="CC4" i="5"/>
  <c r="BE44" i="5" l="1"/>
  <c r="A40" i="5"/>
  <c r="AW46" i="5"/>
  <c r="AW47" i="5" s="1"/>
  <c r="AY44" i="5"/>
  <c r="BC45" i="5"/>
  <c r="BD45" i="5"/>
  <c r="CN4" i="5"/>
  <c r="BX3" i="5"/>
  <c r="CA3" i="5"/>
  <c r="CB3" i="5"/>
  <c r="BG39" i="5"/>
  <c r="AY47" i="5" l="1"/>
  <c r="BE45" i="5"/>
  <c r="AY45" i="5"/>
  <c r="AY46" i="5"/>
  <c r="BD46" i="5"/>
  <c r="BD47" i="5" s="1"/>
  <c r="BC46" i="5"/>
  <c r="BC47" i="5" s="1"/>
  <c r="A41" i="5"/>
  <c r="CM3" i="5"/>
  <c r="CB4" i="5"/>
  <c r="CA4" i="5"/>
  <c r="CA10" i="5"/>
  <c r="BG40" i="5"/>
  <c r="BE47" i="5" l="1"/>
  <c r="BK47" i="5"/>
  <c r="BJ47" i="5"/>
  <c r="BE46" i="5"/>
  <c r="A42" i="5"/>
  <c r="CM4" i="5"/>
  <c r="BW10" i="5"/>
  <c r="BV5" i="5"/>
  <c r="BZ5" i="5"/>
  <c r="BG41" i="5"/>
  <c r="BG42" i="5"/>
  <c r="BY5" i="5"/>
  <c r="BG47" i="5"/>
  <c r="A43" i="5" l="1"/>
  <c r="CB5" i="5"/>
  <c r="CA5" i="5"/>
  <c r="BX4" i="5"/>
  <c r="CN5" i="5"/>
  <c r="CB10" i="5"/>
  <c r="BG43" i="5"/>
  <c r="A44" i="5" l="1"/>
  <c r="BI28" i="5"/>
  <c r="BH28" i="5"/>
  <c r="CM5" i="5"/>
  <c r="BG44" i="5"/>
  <c r="A45" i="5" l="1"/>
  <c r="BG45" i="5"/>
  <c r="A46" i="5" l="1"/>
  <c r="A47" i="5" s="1"/>
  <c r="CN3" i="5"/>
  <c r="BG46" i="5"/>
  <c r="BA15" i="5" l="1"/>
  <c r="BC16" i="5" l="1"/>
  <c r="BC17" i="5" s="1"/>
  <c r="BE17" i="5" s="1"/>
  <c r="BB15" i="5"/>
  <c r="BD15" i="5" s="1"/>
  <c r="BD16" i="5" s="1"/>
  <c r="BG17" i="5"/>
  <c r="BE16" i="5" l="1"/>
  <c r="BC15" i="5"/>
  <c r="BF15" i="5"/>
  <c r="BG16" i="5"/>
  <c r="BE15" i="5" l="1"/>
  <c r="BV6" i="5"/>
  <c r="BG15" i="5"/>
  <c r="BY6" i="5"/>
  <c r="BZ6" i="5"/>
  <c r="CA6" i="5" l="1"/>
  <c r="CB6" i="5"/>
  <c r="BX5" i="5"/>
  <c r="CN6" i="5"/>
  <c r="CM6" i="5"/>
  <c r="BV7" i="5"/>
  <c r="BY7" i="5"/>
  <c r="BZ7" i="5"/>
  <c r="CA7" i="5" l="1"/>
  <c r="CB7" i="5"/>
  <c r="BX6" i="5"/>
  <c r="CN7" i="5"/>
  <c r="CM7" i="5"/>
  <c r="BV8" i="5"/>
  <c r="BY8" i="5"/>
  <c r="BZ8" i="5"/>
  <c r="CB8" i="5" l="1"/>
  <c r="CA8" i="5"/>
  <c r="CN8" i="5"/>
  <c r="BX7" i="5"/>
  <c r="CM8" i="5"/>
  <c r="BV9" i="5"/>
  <c r="BZ9" i="5"/>
  <c r="BY9" i="5"/>
  <c r="R47" i="5" l="1"/>
  <c r="O47" i="5"/>
  <c r="AP47" i="5"/>
  <c r="AV47" i="5"/>
  <c r="K47" i="5"/>
  <c r="S47" i="5"/>
  <c r="AK47" i="5"/>
  <c r="AJ47" i="5"/>
  <c r="W47" i="5"/>
  <c r="X47" i="5"/>
  <c r="AF47" i="5"/>
  <c r="AE47" i="5"/>
  <c r="AQ47" i="5"/>
  <c r="T47" i="5"/>
  <c r="J47" i="5"/>
  <c r="AH47" i="5"/>
  <c r="AN47" i="5"/>
  <c r="AO47" i="5"/>
  <c r="Y47" i="5"/>
  <c r="AD47" i="5"/>
  <c r="L47" i="5"/>
  <c r="N47" i="5"/>
  <c r="AG47" i="5"/>
  <c r="Z47" i="5"/>
  <c r="AR47" i="5"/>
  <c r="AT47" i="5"/>
  <c r="AX47" i="5"/>
  <c r="AI47" i="5"/>
  <c r="AC47" i="5"/>
  <c r="U47" i="5"/>
  <c r="Q47" i="5"/>
  <c r="AB47" i="5"/>
  <c r="V47" i="5"/>
  <c r="AL47" i="5"/>
  <c r="AA47" i="5"/>
  <c r="P47" i="5"/>
  <c r="AU47" i="5"/>
  <c r="AM47" i="5"/>
  <c r="AS47" i="5"/>
  <c r="AX26" i="5"/>
  <c r="AX37" i="5"/>
  <c r="AX20" i="5"/>
  <c r="AX29" i="5"/>
  <c r="AX39" i="5"/>
  <c r="AX38" i="5"/>
  <c r="AX34" i="5"/>
  <c r="AX30" i="5"/>
  <c r="AX31" i="5"/>
  <c r="AX36" i="5"/>
  <c r="AX32" i="5"/>
  <c r="AX27" i="5"/>
  <c r="AX33" i="5"/>
  <c r="AX25" i="5"/>
  <c r="AX21" i="5"/>
  <c r="AX18" i="5"/>
  <c r="AX35" i="5"/>
  <c r="AX24" i="5"/>
  <c r="AX23" i="5"/>
  <c r="AX22" i="5"/>
  <c r="AX17" i="5"/>
  <c r="AX15" i="5"/>
  <c r="AX19" i="5"/>
  <c r="AX16" i="5"/>
  <c r="AX28" i="5"/>
  <c r="CB9" i="5"/>
  <c r="CA9" i="5"/>
  <c r="Y29" i="5"/>
  <c r="X34" i="5"/>
  <c r="X24" i="5"/>
  <c r="AF26" i="5"/>
  <c r="T25" i="5"/>
  <c r="AG20" i="5"/>
  <c r="V19" i="5"/>
  <c r="N35" i="5"/>
  <c r="P41" i="5"/>
  <c r="AM46" i="5"/>
  <c r="O30" i="5"/>
  <c r="AV25" i="5"/>
  <c r="AQ24" i="5"/>
  <c r="V21" i="5"/>
  <c r="AN15" i="5"/>
  <c r="AR16" i="5"/>
  <c r="AC21" i="5"/>
  <c r="AA43" i="5"/>
  <c r="P45" i="5"/>
  <c r="K16" i="5"/>
  <c r="S30" i="5"/>
  <c r="AQ25" i="5"/>
  <c r="Q16" i="5"/>
  <c r="AU42" i="5"/>
  <c r="AV36" i="5"/>
  <c r="AP18" i="5"/>
  <c r="AH31" i="5"/>
  <c r="AG22" i="5"/>
  <c r="AT28" i="5"/>
  <c r="Q39" i="5"/>
  <c r="AU20" i="5"/>
  <c r="U34" i="5"/>
  <c r="AH34" i="5"/>
  <c r="AE32" i="5"/>
  <c r="AX43" i="5"/>
  <c r="AV37" i="5"/>
  <c r="AT29" i="5"/>
  <c r="AI16" i="5"/>
  <c r="AT17" i="5"/>
  <c r="R46" i="5"/>
  <c r="U46" i="5"/>
  <c r="Z45" i="5"/>
  <c r="AB17" i="5"/>
  <c r="R32" i="5"/>
  <c r="AD27" i="5"/>
  <c r="W31" i="5"/>
  <c r="R23" i="5"/>
  <c r="L26" i="5"/>
  <c r="N22" i="5"/>
  <c r="AE43" i="5"/>
  <c r="AJ24" i="5"/>
  <c r="AR42" i="5"/>
  <c r="Q29" i="5"/>
  <c r="AO25" i="5"/>
  <c r="AN37" i="5"/>
  <c r="AA23" i="5"/>
  <c r="AC16" i="5"/>
  <c r="X45" i="5"/>
  <c r="W33" i="5"/>
  <c r="AU23" i="5"/>
  <c r="R24" i="5"/>
  <c r="AG28" i="5"/>
  <c r="R39" i="5"/>
  <c r="AN22" i="5"/>
  <c r="R21" i="5"/>
  <c r="J27" i="5"/>
  <c r="AA17" i="5"/>
  <c r="AE46" i="5"/>
  <c r="N19" i="5"/>
  <c r="AF30" i="5"/>
  <c r="AD18" i="5"/>
  <c r="Y17" i="5"/>
  <c r="P28" i="5"/>
  <c r="AP27" i="5"/>
  <c r="S28" i="5"/>
  <c r="AG23" i="5"/>
  <c r="AU37" i="5"/>
  <c r="R40" i="5"/>
  <c r="AM20" i="5"/>
  <c r="AB22" i="5"/>
  <c r="Y20" i="5"/>
  <c r="Z15" i="5"/>
  <c r="J26" i="5"/>
  <c r="AH28" i="5"/>
  <c r="AQ19" i="5"/>
  <c r="T22" i="5"/>
  <c r="AC32" i="5"/>
  <c r="U19" i="5"/>
  <c r="S15" i="5"/>
  <c r="AR24" i="5"/>
  <c r="AQ30" i="5"/>
  <c r="N41" i="5"/>
  <c r="V32" i="5"/>
  <c r="AA38" i="5"/>
  <c r="AD30" i="5"/>
  <c r="N46" i="5"/>
  <c r="Y15" i="5"/>
  <c r="AM19" i="5"/>
  <c r="AG43" i="5"/>
  <c r="AV23" i="5"/>
  <c r="Q28" i="5"/>
  <c r="AJ27" i="5"/>
  <c r="AU43" i="5"/>
  <c r="Z27" i="5"/>
  <c r="AK44" i="5"/>
  <c r="L20" i="5"/>
  <c r="N32" i="5"/>
  <c r="AX46" i="5"/>
  <c r="N21" i="5"/>
  <c r="AD37" i="5"/>
  <c r="AS28" i="5"/>
  <c r="AP37" i="5"/>
  <c r="AH37" i="5"/>
  <c r="V33" i="5"/>
  <c r="AL45" i="5"/>
  <c r="AN42" i="5"/>
  <c r="AT16" i="5"/>
  <c r="AC42" i="5"/>
  <c r="T40" i="5"/>
  <c r="O27" i="5"/>
  <c r="AE18" i="5"/>
  <c r="W26" i="5"/>
  <c r="L21" i="5"/>
  <c r="W25" i="5"/>
  <c r="AO32" i="5"/>
  <c r="S19" i="5"/>
  <c r="X30" i="5"/>
  <c r="AU25" i="5"/>
  <c r="AL40" i="5"/>
  <c r="AD19" i="5"/>
  <c r="AS36" i="5"/>
  <c r="AE37" i="5"/>
  <c r="AL24" i="5"/>
  <c r="AK19" i="5"/>
  <c r="AJ16" i="5"/>
  <c r="AN40" i="5"/>
  <c r="L19" i="5"/>
  <c r="Y16" i="5"/>
  <c r="AD23" i="5"/>
  <c r="T43" i="5"/>
  <c r="AR34" i="5"/>
  <c r="AE30" i="5"/>
  <c r="AR32" i="5"/>
  <c r="AH40" i="5"/>
  <c r="P46" i="5"/>
  <c r="AR35" i="5"/>
  <c r="P20" i="5"/>
  <c r="AF15" i="5"/>
  <c r="AO39" i="5"/>
  <c r="Q34" i="5"/>
  <c r="AO16" i="5"/>
  <c r="AA20" i="5"/>
  <c r="AD45" i="5"/>
  <c r="R43" i="5"/>
  <c r="S17" i="5"/>
  <c r="U27" i="5"/>
  <c r="AA19" i="5"/>
  <c r="T26" i="5"/>
  <c r="V17" i="5"/>
  <c r="AT25" i="5"/>
  <c r="AJ26" i="5"/>
  <c r="AM43" i="5"/>
  <c r="Z46" i="5"/>
  <c r="AH42" i="5"/>
  <c r="AD22" i="5"/>
  <c r="X28" i="5"/>
  <c r="X38" i="5"/>
  <c r="AA31" i="5"/>
  <c r="AT32" i="5"/>
  <c r="T37" i="5"/>
  <c r="AA22" i="5"/>
  <c r="S31" i="5"/>
  <c r="AM34" i="5"/>
  <c r="V16" i="5"/>
  <c r="Y19" i="5"/>
  <c r="AB35" i="5"/>
  <c r="AC36" i="5"/>
  <c r="Y30" i="5"/>
  <c r="Q46" i="5"/>
  <c r="AV46" i="5"/>
  <c r="Z24" i="5"/>
  <c r="AC19" i="5"/>
  <c r="AH18" i="5"/>
  <c r="L24" i="5"/>
  <c r="R31" i="5"/>
  <c r="U26" i="5"/>
  <c r="AU18" i="5"/>
  <c r="X41" i="5"/>
  <c r="AQ40" i="5"/>
  <c r="K31" i="5"/>
  <c r="V23" i="5"/>
  <c r="AV16" i="5"/>
  <c r="AJ34" i="5"/>
  <c r="AQ38" i="5"/>
  <c r="Y21" i="5"/>
  <c r="AL35" i="5"/>
  <c r="Q23" i="5"/>
  <c r="X35" i="5"/>
  <c r="AB43" i="5"/>
  <c r="U41" i="5"/>
  <c r="X17" i="5"/>
  <c r="AR30" i="5"/>
  <c r="AL21" i="5"/>
  <c r="S26" i="5"/>
  <c r="AT40" i="5"/>
  <c r="T27" i="5"/>
  <c r="AD28" i="5"/>
  <c r="W22" i="5"/>
  <c r="AF46" i="5"/>
  <c r="O15" i="5"/>
  <c r="V39" i="5"/>
  <c r="T15" i="5"/>
  <c r="Q27" i="5"/>
  <c r="Y18" i="5"/>
  <c r="S18" i="5"/>
  <c r="R34" i="5"/>
  <c r="AA26" i="5"/>
  <c r="W28" i="5"/>
  <c r="AK15" i="5"/>
  <c r="S32" i="5"/>
  <c r="AL23" i="5"/>
  <c r="U43" i="5"/>
  <c r="J30" i="5"/>
  <c r="AJ39" i="5"/>
  <c r="AP28" i="5"/>
  <c r="AG17" i="5"/>
  <c r="AM23" i="5"/>
  <c r="AB20" i="5"/>
  <c r="Q19" i="5"/>
  <c r="AN26" i="5"/>
  <c r="Z43" i="5"/>
  <c r="AS27" i="5"/>
  <c r="AB26" i="5"/>
  <c r="K26" i="5"/>
  <c r="AO33" i="5"/>
  <c r="AQ20" i="5"/>
  <c r="V27" i="5"/>
  <c r="X23" i="5"/>
  <c r="AE17" i="5"/>
  <c r="O25" i="5"/>
  <c r="AS23" i="5"/>
  <c r="AB37" i="5"/>
  <c r="AR38" i="5"/>
  <c r="AF38" i="5"/>
  <c r="X19" i="5"/>
  <c r="AH30" i="5"/>
  <c r="AK22" i="5"/>
  <c r="K32" i="5"/>
  <c r="AK17" i="5"/>
  <c r="AF29" i="5"/>
  <c r="AP23" i="5"/>
  <c r="X43" i="5"/>
  <c r="W43" i="5"/>
  <c r="AF36" i="5"/>
  <c r="AF31" i="5"/>
  <c r="AF17" i="5"/>
  <c r="N28" i="5"/>
  <c r="AG41" i="5"/>
  <c r="O23" i="5"/>
  <c r="AU22" i="5"/>
  <c r="U30" i="5"/>
  <c r="AO17" i="5"/>
  <c r="AF45" i="5"/>
  <c r="R45" i="5"/>
  <c r="V29" i="5"/>
  <c r="N16" i="5"/>
  <c r="AQ31" i="5"/>
  <c r="N43" i="5"/>
  <c r="U42" i="5"/>
  <c r="Q17" i="5"/>
  <c r="AL29" i="5"/>
  <c r="AD26" i="5"/>
  <c r="AR22" i="5"/>
  <c r="AR44" i="5"/>
  <c r="AF21" i="5"/>
  <c r="AC38" i="5"/>
  <c r="AV27" i="5"/>
  <c r="AP17" i="5"/>
  <c r="AA18" i="5"/>
  <c r="AK37" i="5"/>
  <c r="S16" i="5"/>
  <c r="AH25" i="5"/>
  <c r="S34" i="5"/>
  <c r="S38" i="5"/>
  <c r="AI29" i="5"/>
  <c r="J38" i="5"/>
  <c r="Z39" i="5"/>
  <c r="AU39" i="5"/>
  <c r="AV31" i="5"/>
  <c r="AP30" i="5"/>
  <c r="W18" i="5"/>
  <c r="U39" i="5"/>
  <c r="AU26" i="5"/>
  <c r="AI40" i="5"/>
  <c r="AM18" i="5"/>
  <c r="AV32" i="5"/>
  <c r="P43" i="5"/>
  <c r="T34" i="5"/>
  <c r="X44" i="5"/>
  <c r="S36" i="5"/>
  <c r="AB29" i="5"/>
  <c r="W40" i="5"/>
  <c r="AG35" i="5"/>
  <c r="AF35" i="5"/>
  <c r="AG19" i="5"/>
  <c r="U28" i="5"/>
  <c r="AV20" i="5"/>
  <c r="V45" i="5"/>
  <c r="T19" i="5"/>
  <c r="AM41" i="5"/>
  <c r="AJ17" i="5"/>
  <c r="L22" i="5"/>
  <c r="Q24" i="5"/>
  <c r="Y45" i="5"/>
  <c r="Z17" i="5"/>
  <c r="Y32" i="5"/>
  <c r="AF23" i="5"/>
  <c r="AN19" i="5"/>
  <c r="AP31" i="5"/>
  <c r="AG26" i="5"/>
  <c r="AB15" i="5"/>
  <c r="AC25" i="5"/>
  <c r="AJ31" i="5"/>
  <c r="AN30" i="5"/>
  <c r="AN25" i="5"/>
  <c r="AX41" i="5"/>
  <c r="AF34" i="5"/>
  <c r="N24" i="5"/>
  <c r="AI23" i="5"/>
  <c r="AL17" i="5"/>
  <c r="P19" i="5"/>
  <c r="O40" i="5"/>
  <c r="T20" i="5"/>
  <c r="N23" i="5"/>
  <c r="T24" i="5"/>
  <c r="AB44" i="5"/>
  <c r="AH29" i="5"/>
  <c r="S29" i="5"/>
  <c r="AR21" i="5"/>
  <c r="AF44" i="5"/>
  <c r="J25" i="5"/>
  <c r="Q30" i="5"/>
  <c r="AE36" i="5"/>
  <c r="AX40" i="5"/>
  <c r="AP20" i="5"/>
  <c r="L28" i="5"/>
  <c r="Z20" i="5"/>
  <c r="AD39" i="5"/>
  <c r="W46" i="5"/>
  <c r="AD33" i="5"/>
  <c r="AF37" i="5"/>
  <c r="AO24" i="5"/>
  <c r="U15" i="5"/>
  <c r="AO18" i="5"/>
  <c r="T45" i="5"/>
  <c r="S41" i="5"/>
  <c r="K30" i="5"/>
  <c r="L35" i="5"/>
  <c r="AC23" i="5"/>
  <c r="AF19" i="5"/>
  <c r="AT31" i="5"/>
  <c r="AC43" i="5"/>
  <c r="O26" i="5"/>
  <c r="AQ44" i="5"/>
  <c r="AI18" i="5"/>
  <c r="AB45" i="5"/>
  <c r="AA27" i="5"/>
  <c r="AG45" i="5"/>
  <c r="AF27" i="5"/>
  <c r="AH38" i="5"/>
  <c r="U21" i="5"/>
  <c r="R18" i="5"/>
  <c r="AV38" i="5"/>
  <c r="T36" i="5"/>
  <c r="AE26" i="5"/>
  <c r="W17" i="5"/>
  <c r="AO41" i="5"/>
  <c r="P15" i="5"/>
  <c r="AH15" i="5"/>
  <c r="AG42" i="5"/>
  <c r="AK33" i="5"/>
  <c r="R20" i="5"/>
  <c r="L33" i="5"/>
  <c r="AM33" i="5"/>
  <c r="AH17" i="5"/>
  <c r="AH33" i="5"/>
  <c r="N44" i="5"/>
  <c r="W37" i="5"/>
  <c r="Y25" i="5"/>
  <c r="AG44" i="5"/>
  <c r="Y24" i="5"/>
  <c r="AJ40" i="5"/>
  <c r="AN34" i="5"/>
  <c r="Y41" i="5"/>
  <c r="AL28" i="5"/>
  <c r="X42" i="5"/>
  <c r="AL16" i="5"/>
  <c r="U45" i="5"/>
  <c r="AJ33" i="5"/>
  <c r="AA21" i="5"/>
  <c r="AM15" i="5"/>
  <c r="AD42" i="5"/>
  <c r="AT36" i="5"/>
  <c r="V41" i="5"/>
  <c r="AE44" i="5"/>
  <c r="AG16" i="5"/>
  <c r="R17" i="5"/>
  <c r="AP38" i="5"/>
  <c r="R44" i="5"/>
  <c r="V40" i="5"/>
  <c r="AS32" i="5"/>
  <c r="AD29" i="5"/>
  <c r="AN32" i="5"/>
  <c r="AC45" i="5"/>
  <c r="AJ32" i="5"/>
  <c r="AJ30" i="5"/>
  <c r="Z23" i="5"/>
  <c r="AT23" i="5"/>
  <c r="AL39" i="5"/>
  <c r="P40" i="5"/>
  <c r="O31" i="5"/>
  <c r="AF16" i="5"/>
  <c r="AA29" i="5"/>
  <c r="Y38" i="5"/>
  <c r="AB16" i="5"/>
  <c r="K19" i="5"/>
  <c r="X26" i="5"/>
  <c r="U20" i="5"/>
  <c r="AI15" i="5"/>
  <c r="AO34" i="5"/>
  <c r="AI34" i="5"/>
  <c r="Z35" i="5"/>
  <c r="AV22" i="5"/>
  <c r="AC40" i="5"/>
  <c r="X16" i="5"/>
  <c r="L30" i="5"/>
  <c r="AF41" i="5"/>
  <c r="AT21" i="5"/>
  <c r="N17" i="5"/>
  <c r="P32" i="5"/>
  <c r="AC26" i="5"/>
  <c r="AR29" i="5"/>
  <c r="P26" i="5"/>
  <c r="AJ25" i="5"/>
  <c r="X29" i="5"/>
  <c r="AJ46" i="5"/>
  <c r="AF33" i="5"/>
  <c r="T18" i="5"/>
  <c r="U37" i="5"/>
  <c r="AA32" i="5"/>
  <c r="P29" i="5"/>
  <c r="AM45" i="5"/>
  <c r="AS30" i="5"/>
  <c r="AP36" i="5"/>
  <c r="AB21" i="5"/>
  <c r="AR40" i="5"/>
  <c r="O34" i="5"/>
  <c r="AJ22" i="5"/>
  <c r="AE19" i="5"/>
  <c r="AV43" i="5"/>
  <c r="L16" i="5"/>
  <c r="V36" i="5"/>
  <c r="AL33" i="5"/>
  <c r="R42" i="5"/>
  <c r="O36" i="5"/>
  <c r="AI26" i="5"/>
  <c r="S25" i="5"/>
  <c r="AU44" i="5"/>
  <c r="AD46" i="5"/>
  <c r="AI22" i="5"/>
  <c r="AB24" i="5"/>
  <c r="AR33" i="5"/>
  <c r="U36" i="5"/>
  <c r="AP22" i="5"/>
  <c r="AB38" i="5"/>
  <c r="W39" i="5"/>
  <c r="Y31" i="5"/>
  <c r="AE29" i="5"/>
  <c r="P22" i="5"/>
  <c r="AR25" i="5"/>
  <c r="AQ45" i="5"/>
  <c r="AM38" i="5"/>
  <c r="AB18" i="5"/>
  <c r="AH44" i="5"/>
  <c r="Y34" i="5"/>
  <c r="P39" i="5"/>
  <c r="S27" i="5"/>
  <c r="AL38" i="5"/>
  <c r="AO26" i="5"/>
  <c r="AS46" i="5"/>
  <c r="AH16" i="5"/>
  <c r="AL27" i="5"/>
  <c r="AI41" i="5"/>
  <c r="AH24" i="5"/>
  <c r="AC33" i="5"/>
  <c r="AQ26" i="5"/>
  <c r="AA40" i="5"/>
  <c r="AD31" i="5"/>
  <c r="Z38" i="5"/>
  <c r="N26" i="5"/>
  <c r="AS26" i="5"/>
  <c r="AF20" i="5"/>
  <c r="AD34" i="5"/>
  <c r="AH27" i="5"/>
  <c r="AI35" i="5"/>
  <c r="AP16" i="5"/>
  <c r="AP35" i="5"/>
  <c r="AI33" i="5"/>
  <c r="S23" i="5"/>
  <c r="AN23" i="5"/>
  <c r="AM37" i="5"/>
  <c r="Q36" i="5"/>
  <c r="AV28" i="5"/>
  <c r="AE16" i="5"/>
  <c r="AH45" i="5"/>
  <c r="U33" i="5"/>
  <c r="AI24" i="5"/>
  <c r="AP44" i="5"/>
  <c r="AK16" i="5"/>
  <c r="V37" i="5"/>
  <c r="AH32" i="5"/>
  <c r="AS39" i="5"/>
  <c r="T33" i="5"/>
  <c r="AM31" i="5"/>
  <c r="W16" i="5"/>
  <c r="V46" i="5"/>
  <c r="Z29" i="5"/>
  <c r="AV40" i="5"/>
  <c r="AK18" i="5"/>
  <c r="T44" i="5"/>
  <c r="AC39" i="5"/>
  <c r="Q41" i="5"/>
  <c r="Y33" i="5"/>
  <c r="P18" i="5"/>
  <c r="AI28" i="5"/>
  <c r="AR20" i="5"/>
  <c r="Q22" i="5"/>
  <c r="AK38" i="5"/>
  <c r="AM24" i="5"/>
  <c r="AT22" i="5"/>
  <c r="AL44" i="5"/>
  <c r="V22" i="5"/>
  <c r="AU17" i="5"/>
  <c r="N25" i="5"/>
  <c r="AA25" i="5"/>
  <c r="AJ28" i="5"/>
  <c r="AF22" i="5"/>
  <c r="AP32" i="5"/>
  <c r="AJ38" i="5"/>
  <c r="Z16" i="5"/>
  <c r="AC17" i="5"/>
  <c r="Q25" i="5"/>
  <c r="AB30" i="5"/>
  <c r="L36" i="5"/>
  <c r="P21" i="5"/>
  <c r="AU35" i="5"/>
  <c r="L27" i="5"/>
  <c r="AS35" i="5"/>
  <c r="X21" i="5"/>
  <c r="AR17" i="5"/>
  <c r="Z41" i="5"/>
  <c r="AQ21" i="5"/>
  <c r="AK28" i="5"/>
  <c r="AU29" i="5"/>
  <c r="U18" i="5"/>
  <c r="R19" i="5"/>
  <c r="AT38" i="5"/>
  <c r="Y23" i="5"/>
  <c r="P16" i="5"/>
  <c r="V18" i="5"/>
  <c r="AJ43" i="5"/>
  <c r="K24" i="5"/>
  <c r="AJ29" i="5"/>
  <c r="Y28" i="5"/>
  <c r="AN45" i="5"/>
  <c r="AI27" i="5"/>
  <c r="AO21" i="5"/>
  <c r="N20" i="5"/>
  <c r="AV42" i="5"/>
  <c r="Z21" i="5"/>
  <c r="AQ33" i="5"/>
  <c r="AE27" i="5"/>
  <c r="AV39" i="5"/>
  <c r="AJ45" i="5"/>
  <c r="O32" i="5"/>
  <c r="AD16" i="5"/>
  <c r="Z33" i="5"/>
  <c r="N33" i="5"/>
  <c r="AV24" i="5"/>
  <c r="AN38" i="5"/>
  <c r="AT44" i="5"/>
  <c r="AV17" i="5"/>
  <c r="AE24" i="5"/>
  <c r="AE41" i="5"/>
  <c r="W30" i="5"/>
  <c r="S39" i="5"/>
  <c r="Q32" i="5"/>
  <c r="AB23" i="5"/>
  <c r="AT46" i="5"/>
  <c r="Z30" i="5"/>
  <c r="V44" i="5"/>
  <c r="S21" i="5"/>
  <c r="O39" i="5"/>
  <c r="AI20" i="5"/>
  <c r="W38" i="5"/>
  <c r="U35" i="5"/>
  <c r="O19" i="5"/>
  <c r="Y40" i="5"/>
  <c r="V15" i="5"/>
  <c r="AR27" i="5"/>
  <c r="AG37" i="5"/>
  <c r="AT42" i="5"/>
  <c r="AL41" i="5"/>
  <c r="O41" i="5"/>
  <c r="AP33" i="5"/>
  <c r="AU33" i="5"/>
  <c r="J31" i="5"/>
  <c r="AK34" i="5"/>
  <c r="O33" i="5"/>
  <c r="J23" i="5"/>
  <c r="AS31" i="5"/>
  <c r="X25" i="5"/>
  <c r="AP26" i="5"/>
  <c r="AE40" i="5"/>
  <c r="S35" i="5"/>
  <c r="AK36" i="5"/>
  <c r="O22" i="5"/>
  <c r="Z32" i="5"/>
  <c r="AG30" i="5"/>
  <c r="AC41" i="5"/>
  <c r="AO29" i="5"/>
  <c r="U32" i="5"/>
  <c r="AH26" i="5"/>
  <c r="AM40" i="5"/>
  <c r="K21" i="5"/>
  <c r="AQ23" i="5"/>
  <c r="AE33" i="5"/>
  <c r="AB41" i="5"/>
  <c r="U22" i="5"/>
  <c r="AQ34" i="5"/>
  <c r="AV21" i="5"/>
  <c r="T46" i="5"/>
  <c r="AI36" i="5"/>
  <c r="AI37" i="5"/>
  <c r="S37" i="5"/>
  <c r="N39" i="5"/>
  <c r="AH41" i="5"/>
  <c r="K35" i="5"/>
  <c r="N31" i="5"/>
  <c r="AM21" i="5"/>
  <c r="N34" i="5"/>
  <c r="X18" i="5"/>
  <c r="AO44" i="5"/>
  <c r="AR28" i="5"/>
  <c r="AA42" i="5"/>
  <c r="AB25" i="5"/>
  <c r="AK40" i="5"/>
  <c r="AH35" i="5"/>
  <c r="O38" i="5"/>
  <c r="AG27" i="5"/>
  <c r="AF32" i="5"/>
  <c r="K37" i="5"/>
  <c r="AD32" i="5"/>
  <c r="AB42" i="5"/>
  <c r="X15" i="5"/>
  <c r="AO45" i="5"/>
  <c r="AS16" i="5"/>
  <c r="AI43" i="5"/>
  <c r="AU45" i="5"/>
  <c r="AC24" i="5"/>
  <c r="R41" i="5"/>
  <c r="AU32" i="5"/>
  <c r="X37" i="5"/>
  <c r="AS18" i="5"/>
  <c r="V31" i="5"/>
  <c r="AD41" i="5"/>
  <c r="AO42" i="5"/>
  <c r="AH36" i="5"/>
  <c r="AE39" i="5"/>
  <c r="AB34" i="5"/>
  <c r="X31" i="5"/>
  <c r="W21" i="5"/>
  <c r="J24" i="5"/>
  <c r="AS25" i="5"/>
  <c r="AC15" i="5"/>
  <c r="AS15" i="5"/>
  <c r="AF43" i="5"/>
  <c r="AE31" i="5"/>
  <c r="AL30" i="5"/>
  <c r="AR15" i="5"/>
  <c r="AJ23" i="5"/>
  <c r="AK30" i="5"/>
  <c r="S45" i="5"/>
  <c r="AD35" i="5"/>
  <c r="V25" i="5"/>
  <c r="AR37" i="5"/>
  <c r="O46" i="5"/>
  <c r="J32" i="5"/>
  <c r="R26" i="5"/>
  <c r="AV19" i="5"/>
  <c r="AG40" i="5"/>
  <c r="AD36" i="5"/>
  <c r="AD21" i="5"/>
  <c r="AD24" i="5"/>
  <c r="AR45" i="5"/>
  <c r="V28" i="5"/>
  <c r="AP25" i="5"/>
  <c r="U24" i="5"/>
  <c r="AN46" i="5"/>
  <c r="AD38" i="5"/>
  <c r="J16" i="5"/>
  <c r="AB39" i="5"/>
  <c r="AK32" i="5"/>
  <c r="AT30" i="5"/>
  <c r="T16" i="5"/>
  <c r="Q38" i="5"/>
  <c r="O44" i="5"/>
  <c r="AK45" i="5"/>
  <c r="AK31" i="5"/>
  <c r="AN44" i="5"/>
  <c r="AG36" i="5"/>
  <c r="AN43" i="5"/>
  <c r="K33" i="5"/>
  <c r="R33" i="5"/>
  <c r="J35" i="5"/>
  <c r="AN24" i="5"/>
  <c r="X46" i="5"/>
  <c r="AI30" i="5"/>
  <c r="U38" i="5"/>
  <c r="N29" i="5"/>
  <c r="K29" i="5"/>
  <c r="AR46" i="5"/>
  <c r="AU34" i="5"/>
  <c r="S44" i="5"/>
  <c r="T38" i="5"/>
  <c r="Y37" i="5"/>
  <c r="U25" i="5"/>
  <c r="AA28" i="5"/>
  <c r="AU41" i="5"/>
  <c r="T32" i="5"/>
  <c r="AB40" i="5"/>
  <c r="AK43" i="5"/>
  <c r="AL32" i="5"/>
  <c r="V26" i="5"/>
  <c r="O17" i="5"/>
  <c r="K34" i="5"/>
  <c r="Z19" i="5"/>
  <c r="AU15" i="5"/>
  <c r="W19" i="5"/>
  <c r="Y26" i="5"/>
  <c r="T21" i="5"/>
  <c r="AD25" i="5"/>
  <c r="AQ16" i="5"/>
  <c r="AQ46" i="5"/>
  <c r="AQ28" i="5"/>
  <c r="AQ17" i="5"/>
  <c r="AM35" i="5"/>
  <c r="AM39" i="5"/>
  <c r="L37" i="5"/>
  <c r="AQ35" i="5"/>
  <c r="R35" i="5"/>
  <c r="Q44" i="5"/>
  <c r="AS29" i="5"/>
  <c r="AP24" i="5"/>
  <c r="U40" i="5"/>
  <c r="AF40" i="5"/>
  <c r="AE22" i="5"/>
  <c r="N37" i="5"/>
  <c r="AO36" i="5"/>
  <c r="N36" i="5"/>
  <c r="AU40" i="5"/>
  <c r="AV26" i="5"/>
  <c r="AG33" i="5"/>
  <c r="AL25" i="5"/>
  <c r="X40" i="5"/>
  <c r="AH43" i="5"/>
  <c r="O18" i="5"/>
  <c r="AI31" i="5"/>
  <c r="AD44" i="5"/>
  <c r="AH39" i="5"/>
  <c r="J28" i="5"/>
  <c r="AJ20" i="5"/>
  <c r="P37" i="5"/>
  <c r="AE38" i="5"/>
  <c r="AO20" i="5"/>
  <c r="AQ39" i="5"/>
  <c r="R37" i="5"/>
  <c r="Y22" i="5"/>
  <c r="J34" i="5"/>
  <c r="AE42" i="5"/>
  <c r="Q31" i="5"/>
  <c r="AT34" i="5"/>
  <c r="T17" i="5"/>
  <c r="AI39" i="5"/>
  <c r="N40" i="5"/>
  <c r="AL26" i="5"/>
  <c r="J33" i="5"/>
  <c r="W36" i="5"/>
  <c r="N30" i="5"/>
  <c r="AM30" i="5"/>
  <c r="AP46" i="5"/>
  <c r="O20" i="5"/>
  <c r="AV33" i="5"/>
  <c r="P31" i="5"/>
  <c r="AE23" i="5"/>
  <c r="AA46" i="5"/>
  <c r="Z31" i="5"/>
  <c r="AT19" i="5"/>
  <c r="AT41" i="5"/>
  <c r="AL37" i="5"/>
  <c r="Y35" i="5"/>
  <c r="X22" i="5"/>
  <c r="AK25" i="5"/>
  <c r="AO46" i="5"/>
  <c r="AN35" i="5"/>
  <c r="AR19" i="5"/>
  <c r="AM22" i="5"/>
  <c r="Y44" i="5"/>
  <c r="L18" i="5"/>
  <c r="W32" i="5"/>
  <c r="W23" i="5"/>
  <c r="L17" i="5"/>
  <c r="AE20" i="5"/>
  <c r="P17" i="5"/>
  <c r="AF42" i="5"/>
  <c r="AN21" i="5"/>
  <c r="AR23" i="5"/>
  <c r="Y36" i="5"/>
  <c r="AA33" i="5"/>
  <c r="AN31" i="5"/>
  <c r="AN41" i="5"/>
  <c r="P24" i="5"/>
  <c r="AU38" i="5"/>
  <c r="AO35" i="5"/>
  <c r="AS38" i="5"/>
  <c r="AJ19" i="5"/>
  <c r="O45" i="5"/>
  <c r="AC20" i="5"/>
  <c r="AL46" i="5"/>
  <c r="AS43" i="5"/>
  <c r="AH21" i="5"/>
  <c r="P35" i="5"/>
  <c r="V30" i="5"/>
  <c r="AN18" i="5"/>
  <c r="AS44" i="5"/>
  <c r="L34" i="5"/>
  <c r="AC35" i="5"/>
  <c r="AS21" i="5"/>
  <c r="V24" i="5"/>
  <c r="AA15" i="5"/>
  <c r="AM17" i="5"/>
  <c r="Z44" i="5"/>
  <c r="AO23" i="5"/>
  <c r="AF28" i="5"/>
  <c r="AQ41" i="5"/>
  <c r="AH22" i="5"/>
  <c r="Q21" i="5"/>
  <c r="AC46" i="5"/>
  <c r="AE28" i="5"/>
  <c r="AR43" i="5"/>
  <c r="J19" i="5"/>
  <c r="Q33" i="5"/>
  <c r="AS19" i="5"/>
  <c r="L31" i="5"/>
  <c r="AM26" i="5"/>
  <c r="K36" i="5"/>
  <c r="AJ36" i="5"/>
  <c r="AL15" i="5"/>
  <c r="AF25" i="5"/>
  <c r="AJ37" i="5"/>
  <c r="AT18" i="5"/>
  <c r="J37" i="5"/>
  <c r="Q15" i="5"/>
  <c r="AK39" i="5"/>
  <c r="W15" i="5"/>
  <c r="AL31" i="5"/>
  <c r="AC30" i="5"/>
  <c r="O21" i="5"/>
  <c r="AK27" i="5"/>
  <c r="AX42" i="5"/>
  <c r="N18" i="5"/>
  <c r="P38" i="5"/>
  <c r="AD20" i="5"/>
  <c r="N45" i="5"/>
  <c r="AX44" i="5"/>
  <c r="AG32" i="5"/>
  <c r="AJ15" i="5"/>
  <c r="AU31" i="5"/>
  <c r="AU24" i="5"/>
  <c r="AU28" i="5"/>
  <c r="AG38" i="5"/>
  <c r="J22" i="5"/>
  <c r="AV30" i="5"/>
  <c r="AH23" i="5"/>
  <c r="S33" i="5"/>
  <c r="AA39" i="5"/>
  <c r="AC34" i="5"/>
  <c r="R38" i="5"/>
  <c r="AQ18" i="5"/>
  <c r="AM29" i="5"/>
  <c r="AN39" i="5"/>
  <c r="AS40" i="5"/>
  <c r="K17" i="5"/>
  <c r="Q45" i="5"/>
  <c r="L38" i="5"/>
  <c r="AK42" i="5"/>
  <c r="AO30" i="5"/>
  <c r="AS17" i="5"/>
  <c r="AO27" i="5"/>
  <c r="AD40" i="5"/>
  <c r="AO37" i="5"/>
  <c r="AA45" i="5"/>
  <c r="AK20" i="5"/>
  <c r="P30" i="5"/>
  <c r="Q42" i="5"/>
  <c r="AV45" i="5"/>
  <c r="S46" i="5"/>
  <c r="AS24" i="5"/>
  <c r="N42" i="5"/>
  <c r="X33" i="5"/>
  <c r="AA16" i="5"/>
  <c r="AE45" i="5"/>
  <c r="AC37" i="5"/>
  <c r="AA41" i="5"/>
  <c r="AP45" i="5"/>
  <c r="AV15" i="5"/>
  <c r="AJ35" i="5"/>
  <c r="AE15" i="5"/>
  <c r="J15" i="5"/>
  <c r="AK24" i="5"/>
  <c r="AS45" i="5"/>
  <c r="R15" i="5"/>
  <c r="AL34" i="5"/>
  <c r="J17" i="5"/>
  <c r="O43" i="5"/>
  <c r="L32" i="5"/>
  <c r="BM32" i="5" s="1"/>
  <c r="AM16" i="5"/>
  <c r="AB32" i="5"/>
  <c r="Y42" i="5"/>
  <c r="S40" i="5"/>
  <c r="X39" i="5"/>
  <c r="AT39" i="5"/>
  <c r="AJ42" i="5"/>
  <c r="Z42" i="5"/>
  <c r="AL20" i="5"/>
  <c r="J21" i="5"/>
  <c r="AL43" i="5"/>
  <c r="AS41" i="5"/>
  <c r="W27" i="5"/>
  <c r="AF24" i="5"/>
  <c r="K23" i="5"/>
  <c r="P33" i="5"/>
  <c r="AI21" i="5"/>
  <c r="R29" i="5"/>
  <c r="AN17" i="5"/>
  <c r="AL36" i="5"/>
  <c r="AD17" i="5"/>
  <c r="AG34" i="5"/>
  <c r="Q43" i="5"/>
  <c r="AC31" i="5"/>
  <c r="K15" i="5"/>
  <c r="AC28" i="5"/>
  <c r="Z22" i="5"/>
  <c r="R27" i="5"/>
  <c r="R28" i="5"/>
  <c r="AO38" i="5"/>
  <c r="AC29" i="5"/>
  <c r="AC22" i="5"/>
  <c r="AA30" i="5"/>
  <c r="AO19" i="5"/>
  <c r="V34" i="5"/>
  <c r="AS20" i="5"/>
  <c r="AT45" i="5"/>
  <c r="V43" i="5"/>
  <c r="AM36" i="5"/>
  <c r="AI17" i="5"/>
  <c r="AV44" i="5"/>
  <c r="AS34" i="5"/>
  <c r="AT15" i="5"/>
  <c r="Z34" i="5"/>
  <c r="V42" i="5"/>
  <c r="AR26" i="5"/>
  <c r="J36" i="5"/>
  <c r="AR41" i="5"/>
  <c r="AK35" i="5"/>
  <c r="AS37" i="5"/>
  <c r="Q26" i="5"/>
  <c r="Y46" i="5"/>
  <c r="W45" i="5"/>
  <c r="AP41" i="5"/>
  <c r="AT43" i="5"/>
  <c r="AB31" i="5"/>
  <c r="P25" i="5"/>
  <c r="T31" i="5"/>
  <c r="AB46" i="5"/>
  <c r="U31" i="5"/>
  <c r="AG29" i="5"/>
  <c r="K22" i="5"/>
  <c r="O37" i="5"/>
  <c r="P34" i="5"/>
  <c r="Z26" i="5"/>
  <c r="AJ41" i="5"/>
  <c r="AU21" i="5"/>
  <c r="AG15" i="5"/>
  <c r="S42" i="5"/>
  <c r="AR31" i="5"/>
  <c r="AK26" i="5"/>
  <c r="N27" i="5"/>
  <c r="AT24" i="5"/>
  <c r="AX45" i="5"/>
  <c r="S22" i="5"/>
  <c r="AO22" i="5"/>
  <c r="AA35" i="5"/>
  <c r="AK23" i="5"/>
  <c r="AP21" i="5"/>
  <c r="AP15" i="5"/>
  <c r="AP43" i="5"/>
  <c r="P27" i="5"/>
  <c r="AG46" i="5"/>
  <c r="T41" i="5"/>
  <c r="AM27" i="5"/>
  <c r="Q20" i="5"/>
  <c r="AV29" i="5"/>
  <c r="W34" i="5"/>
  <c r="Y43" i="5"/>
  <c r="AM25" i="5"/>
  <c r="AT20" i="5"/>
  <c r="AM42" i="5"/>
  <c r="AB27" i="5"/>
  <c r="AT27" i="5"/>
  <c r="AN33" i="5"/>
  <c r="U16" i="5"/>
  <c r="Z36" i="5"/>
  <c r="AP42" i="5"/>
  <c r="AO43" i="5"/>
  <c r="AJ18" i="5"/>
  <c r="AG39" i="5"/>
  <c r="R30" i="5"/>
  <c r="L23" i="5"/>
  <c r="AT33" i="5"/>
  <c r="N38" i="5"/>
  <c r="AL22" i="5"/>
  <c r="AN36" i="5"/>
  <c r="W24" i="5"/>
  <c r="P36" i="5"/>
  <c r="U17" i="5"/>
  <c r="AH20" i="5"/>
  <c r="AC27" i="5"/>
  <c r="AN16" i="5"/>
  <c r="O29" i="5"/>
  <c r="AI38" i="5"/>
  <c r="W29" i="5"/>
  <c r="L15" i="5"/>
  <c r="Z40" i="5"/>
  <c r="V20" i="5"/>
  <c r="AP29" i="5"/>
  <c r="R36" i="5"/>
  <c r="AL42" i="5"/>
  <c r="L25" i="5"/>
  <c r="AL18" i="5"/>
  <c r="AQ27" i="5"/>
  <c r="AF18" i="5"/>
  <c r="O24" i="5"/>
  <c r="AQ42" i="5"/>
  <c r="AA34" i="5"/>
  <c r="P44" i="5"/>
  <c r="P23" i="5"/>
  <c r="AG21" i="5"/>
  <c r="AS42" i="5"/>
  <c r="X36" i="5"/>
  <c r="AC18" i="5"/>
  <c r="Z18" i="5"/>
  <c r="AA24" i="5"/>
  <c r="AT26" i="5"/>
  <c r="X20" i="5"/>
  <c r="U23" i="5"/>
  <c r="AK21" i="5"/>
  <c r="AI25" i="5"/>
  <c r="T23" i="5"/>
  <c r="AO40" i="5"/>
  <c r="R16" i="5"/>
  <c r="T35" i="5"/>
  <c r="AJ44" i="5"/>
  <c r="O28" i="5"/>
  <c r="AQ15" i="5"/>
  <c r="AP40" i="5"/>
  <c r="U29" i="5"/>
  <c r="AB28" i="5"/>
  <c r="AI19" i="5"/>
  <c r="AM28" i="5"/>
  <c r="AR18" i="5"/>
  <c r="X27" i="5"/>
  <c r="AM44" i="5"/>
  <c r="AU30" i="5"/>
  <c r="T42" i="5"/>
  <c r="AA37" i="5"/>
  <c r="R22" i="5"/>
  <c r="AI42" i="5"/>
  <c r="AQ37" i="5"/>
  <c r="X32" i="5"/>
  <c r="AJ21" i="5"/>
  <c r="R25" i="5"/>
  <c r="AI46" i="5"/>
  <c r="AU46" i="5"/>
  <c r="Z28" i="5"/>
  <c r="AR39" i="5"/>
  <c r="AB19" i="5"/>
  <c r="K20" i="5"/>
  <c r="AP19" i="5"/>
  <c r="AI45" i="5"/>
  <c r="Q40" i="5"/>
  <c r="Q18" i="5"/>
  <c r="Q37" i="5"/>
  <c r="J18" i="5"/>
  <c r="T30" i="5"/>
  <c r="V38" i="5"/>
  <c r="AG24" i="5"/>
  <c r="S24" i="5"/>
  <c r="V35" i="5"/>
  <c r="AD15" i="5"/>
  <c r="AU19" i="5"/>
  <c r="AQ36" i="5"/>
  <c r="AK46" i="5"/>
  <c r="AA36" i="5"/>
  <c r="Y39" i="5"/>
  <c r="Y27" i="5"/>
  <c r="AG25" i="5"/>
  <c r="O35" i="5"/>
  <c r="AT37" i="5"/>
  <c r="AG31" i="5"/>
  <c r="AO31" i="5"/>
  <c r="AB33" i="5"/>
  <c r="O16" i="5"/>
  <c r="AE34" i="5"/>
  <c r="AN20" i="5"/>
  <c r="AO28" i="5"/>
  <c r="AS33" i="5"/>
  <c r="U44" i="5"/>
  <c r="AH19" i="5"/>
  <c r="AK29" i="5"/>
  <c r="K27" i="5"/>
  <c r="AD43" i="5"/>
  <c r="AK41" i="5"/>
  <c r="AG18" i="5"/>
  <c r="J29" i="5"/>
  <c r="W41" i="5"/>
  <c r="AA44" i="5"/>
  <c r="Z37" i="5"/>
  <c r="AV34" i="5"/>
  <c r="K28" i="5"/>
  <c r="AM32" i="5"/>
  <c r="K18" i="5"/>
  <c r="W35" i="5"/>
  <c r="AO15" i="5"/>
  <c r="K25" i="5"/>
  <c r="O42" i="5"/>
  <c r="AT35" i="5"/>
  <c r="K38" i="5"/>
  <c r="AQ29" i="5"/>
  <c r="T39" i="5"/>
  <c r="AN28" i="5"/>
  <c r="W44" i="5"/>
  <c r="L29" i="5"/>
  <c r="AE25" i="5"/>
  <c r="AN27" i="5"/>
  <c r="P42" i="5"/>
  <c r="Q35" i="5"/>
  <c r="AU36" i="5"/>
  <c r="T28" i="5"/>
  <c r="AN29" i="5"/>
  <c r="AE35" i="5"/>
  <c r="AL19" i="5"/>
  <c r="AS22" i="5"/>
  <c r="AV35" i="5"/>
  <c r="AI44" i="5"/>
  <c r="AE21" i="5"/>
  <c r="AP39" i="5"/>
  <c r="AR36" i="5"/>
  <c r="W20" i="5"/>
  <c r="AF39" i="5"/>
  <c r="AQ22" i="5"/>
  <c r="T29" i="5"/>
  <c r="AB36" i="5"/>
  <c r="AV41" i="5"/>
  <c r="S20" i="5"/>
  <c r="AU16" i="5"/>
  <c r="AC44" i="5"/>
  <c r="W42" i="5"/>
  <c r="AP34" i="5"/>
  <c r="AI32" i="5"/>
  <c r="Z25" i="5"/>
  <c r="AH46" i="5"/>
  <c r="AU27" i="5"/>
  <c r="AQ43" i="5"/>
  <c r="AV18" i="5"/>
  <c r="S43" i="5"/>
  <c r="AQ32" i="5"/>
  <c r="J20" i="5"/>
  <c r="N15" i="5"/>
  <c r="L39" i="5"/>
  <c r="J43" i="5"/>
  <c r="J46" i="5"/>
  <c r="L40" i="5"/>
  <c r="J41" i="5"/>
  <c r="L41" i="5"/>
  <c r="K42" i="5"/>
  <c r="K46" i="5"/>
  <c r="L46" i="5"/>
  <c r="K41" i="5"/>
  <c r="J42" i="5"/>
  <c r="K45" i="5"/>
  <c r="J44" i="5"/>
  <c r="J40" i="5"/>
  <c r="K39" i="5"/>
  <c r="K40" i="5"/>
  <c r="K44" i="5"/>
  <c r="L45" i="5"/>
  <c r="J39" i="5"/>
  <c r="L42" i="5"/>
  <c r="K43" i="5"/>
  <c r="J45" i="5"/>
  <c r="L43" i="5"/>
  <c r="L44" i="5"/>
  <c r="CN9" i="5"/>
  <c r="CN12" i="5" s="1"/>
  <c r="CN13" i="5" s="1"/>
  <c r="BX8" i="5"/>
  <c r="CM9" i="5"/>
  <c r="CM12" i="5" s="1"/>
  <c r="CM13" i="5" s="1"/>
  <c r="BM47" i="5" l="1"/>
  <c r="BM46" i="5"/>
  <c r="BM19" i="5"/>
  <c r="BM21" i="5"/>
  <c r="BM31" i="5"/>
  <c r="BM27" i="5"/>
  <c r="BM17" i="5"/>
  <c r="BM28" i="5"/>
  <c r="BH47" i="5"/>
  <c r="BI47" i="5"/>
  <c r="BM29" i="5"/>
  <c r="BM25" i="5"/>
  <c r="BM20" i="5"/>
  <c r="BM35" i="5"/>
  <c r="BH40" i="5"/>
  <c r="BJ40" i="5" s="1"/>
  <c r="BI40" i="5"/>
  <c r="BK40" i="5" s="1"/>
  <c r="BM18" i="5"/>
  <c r="BM34" i="5"/>
  <c r="BI39" i="5"/>
  <c r="BK39" i="5" s="1"/>
  <c r="BH39" i="5"/>
  <c r="BJ39" i="5" s="1"/>
  <c r="BI41" i="5"/>
  <c r="BK41" i="5" s="1"/>
  <c r="BH41" i="5"/>
  <c r="BJ41" i="5" s="1"/>
  <c r="BM23" i="5"/>
  <c r="BI42" i="5"/>
  <c r="BK42" i="5" s="1"/>
  <c r="BH42" i="5"/>
  <c r="BJ42" i="5" s="1"/>
  <c r="BH32" i="5"/>
  <c r="BJ32" i="5" s="1"/>
  <c r="BI32" i="5"/>
  <c r="BK32" i="5" s="1"/>
  <c r="BK29" i="5"/>
  <c r="BJ29" i="5"/>
  <c r="BK28" i="5"/>
  <c r="BJ28" i="5"/>
  <c r="BI37" i="5"/>
  <c r="BK37" i="5" s="1"/>
  <c r="BH37" i="5"/>
  <c r="BJ37" i="5" s="1"/>
  <c r="BH18" i="5"/>
  <c r="BJ18" i="5" s="1"/>
  <c r="BI18" i="5"/>
  <c r="BK18" i="5" s="1"/>
  <c r="BH27" i="5"/>
  <c r="BI27" i="5"/>
  <c r="BM36" i="5"/>
  <c r="BI24" i="5"/>
  <c r="BK24" i="5" s="1"/>
  <c r="BH24" i="5"/>
  <c r="BJ24" i="5" s="1"/>
  <c r="BH36" i="5"/>
  <c r="BJ36" i="5" s="1"/>
  <c r="BI36" i="5"/>
  <c r="BK36" i="5" s="1"/>
  <c r="BH33" i="5"/>
  <c r="BJ33" i="5" s="1"/>
  <c r="BI33" i="5"/>
  <c r="BK33" i="5" s="1"/>
  <c r="BH43" i="5"/>
  <c r="BJ43" i="5" s="1"/>
  <c r="BI43" i="5"/>
  <c r="BK43" i="5" s="1"/>
  <c r="BM26" i="5"/>
  <c r="BM33" i="5"/>
  <c r="BH38" i="5"/>
  <c r="BJ38" i="5" s="1"/>
  <c r="BI38" i="5"/>
  <c r="BK38" i="5" s="1"/>
  <c r="BM22" i="5"/>
  <c r="BI22" i="5"/>
  <c r="BK22" i="5" s="1"/>
  <c r="BH22" i="5"/>
  <c r="BJ22" i="5" s="1"/>
  <c r="BM15" i="5"/>
  <c r="BH44" i="5"/>
  <c r="BI44" i="5"/>
  <c r="BM37" i="5"/>
  <c r="BH45" i="5"/>
  <c r="BI45" i="5"/>
  <c r="BH19" i="5"/>
  <c r="BJ19" i="5" s="1"/>
  <c r="BI19" i="5"/>
  <c r="BK19" i="5" s="1"/>
  <c r="BM30" i="5"/>
  <c r="BM24" i="5"/>
  <c r="BI25" i="5"/>
  <c r="BH25" i="5"/>
  <c r="BH46" i="5"/>
  <c r="BI46" i="5"/>
  <c r="BM38" i="5"/>
  <c r="BI23" i="5"/>
  <c r="BK23" i="5" s="1"/>
  <c r="BH23" i="5"/>
  <c r="BJ23" i="5" s="1"/>
  <c r="BM44" i="5"/>
  <c r="BH34" i="5"/>
  <c r="BJ34" i="5" s="1"/>
  <c r="BI34" i="5"/>
  <c r="BK34" i="5" s="1"/>
  <c r="BH20" i="5"/>
  <c r="BJ20" i="5" s="1"/>
  <c r="BI20" i="5"/>
  <c r="BK20" i="5" s="1"/>
  <c r="BI21" i="5"/>
  <c r="BK21" i="5" s="1"/>
  <c r="BH21" i="5"/>
  <c r="BJ21" i="5" s="1"/>
  <c r="BK16" i="5"/>
  <c r="BJ16" i="5"/>
  <c r="BJ17" i="5"/>
  <c r="BK17" i="5"/>
  <c r="BH35" i="5"/>
  <c r="BJ35" i="5" s="1"/>
  <c r="BI35" i="5"/>
  <c r="BK35" i="5" s="1"/>
  <c r="BK15" i="5"/>
  <c r="BJ15" i="5"/>
  <c r="BM40" i="5"/>
  <c r="BI31" i="5"/>
  <c r="BK31" i="5" s="1"/>
  <c r="BH31" i="5"/>
  <c r="BJ31" i="5" s="1"/>
  <c r="BM16" i="5"/>
  <c r="BH26" i="5"/>
  <c r="BI26" i="5"/>
  <c r="BK30" i="5"/>
  <c r="BJ30" i="5"/>
  <c r="BM45" i="5"/>
  <c r="BM42" i="5"/>
  <c r="BM43" i="5"/>
  <c r="BM41" i="5"/>
  <c r="BJ46" i="5"/>
  <c r="BK46" i="5"/>
  <c r="BK44" i="5"/>
  <c r="BJ44" i="5"/>
  <c r="BJ45" i="5"/>
  <c r="BK45" i="5"/>
  <c r="BM39" i="5"/>
  <c r="BL47" i="5" l="1"/>
  <c r="BL28" i="5"/>
  <c r="BL21" i="5"/>
  <c r="BL34" i="5"/>
  <c r="BL23" i="5"/>
  <c r="BL16" i="5"/>
  <c r="BL15" i="5"/>
  <c r="BL18" i="5"/>
  <c r="BL19" i="5"/>
  <c r="BL17" i="5"/>
  <c r="BL33" i="5"/>
  <c r="BL25" i="5"/>
  <c r="BL22" i="5"/>
  <c r="BL24" i="5"/>
  <c r="BL31" i="5"/>
  <c r="BL30" i="5"/>
  <c r="BL29" i="5"/>
  <c r="BL32" i="5"/>
  <c r="BL27" i="5"/>
  <c r="BL26" i="5"/>
  <c r="BL20" i="5"/>
  <c r="BL35" i="5"/>
  <c r="BL44" i="5"/>
  <c r="BL46" i="5"/>
  <c r="BL41" i="5"/>
  <c r="BL40" i="5"/>
  <c r="BL36" i="5"/>
  <c r="BL37" i="5"/>
  <c r="BL39" i="5"/>
  <c r="BL43" i="5"/>
  <c r="BL38" i="5"/>
  <c r="BL42" i="5"/>
  <c r="BL45" i="5"/>
</calcChain>
</file>

<file path=xl/sharedStrings.xml><?xml version="1.0" encoding="utf-8"?>
<sst xmlns="http://schemas.openxmlformats.org/spreadsheetml/2006/main" count="147" uniqueCount="127">
  <si>
    <t>Periode</t>
  </si>
  <si>
    <t>Første punkt i perioden</t>
  </si>
  <si>
    <t>PeriodeNr</t>
  </si>
  <si>
    <t>NestePunkt</t>
  </si>
  <si>
    <t>Gjennomsnitt</t>
  </si>
  <si>
    <t>Median</t>
  </si>
  <si>
    <t>UCL</t>
  </si>
  <si>
    <t>LCL</t>
  </si>
  <si>
    <t>Snitt mR</t>
  </si>
  <si>
    <t>Rad</t>
  </si>
  <si>
    <t>Korrigering</t>
  </si>
  <si>
    <t>Punkter i trend:</t>
  </si>
  <si>
    <t>Første</t>
  </si>
  <si>
    <t>Inkluder første punkt i trend (1=ja)</t>
  </si>
  <si>
    <t>Overskrift</t>
  </si>
  <si>
    <t>Desimaler:</t>
  </si>
  <si>
    <t>Andre</t>
  </si>
  <si>
    <t>Diagramtype 1:</t>
  </si>
  <si>
    <t>I-diagram</t>
  </si>
  <si>
    <t>Tredje</t>
  </si>
  <si>
    <t>Mål:</t>
  </si>
  <si>
    <t>Diagramtype 2:</t>
  </si>
  <si>
    <t>Run-diagram</t>
  </si>
  <si>
    <t>Fjerde</t>
  </si>
  <si>
    <t>X-aksetittel</t>
  </si>
  <si>
    <t>Femte</t>
  </si>
  <si>
    <t>Y-aksetittel</t>
  </si>
  <si>
    <t>Sjette</t>
  </si>
  <si>
    <t>Vis tester (ja/nei)</t>
  </si>
  <si>
    <t>ja</t>
  </si>
  <si>
    <t>Sjuende</t>
  </si>
  <si>
    <t>Sluttverdi</t>
  </si>
  <si>
    <t>Antall brudd:</t>
  </si>
  <si>
    <t>Tekst:</t>
  </si>
  <si>
    <t>X-aksetittel:</t>
  </si>
  <si>
    <t>Nr</t>
  </si>
  <si>
    <t>Dato</t>
  </si>
  <si>
    <t>Verdi</t>
  </si>
  <si>
    <t>Brudd</t>
  </si>
  <si>
    <t>Kommentar1</t>
  </si>
  <si>
    <t>Kommentar2</t>
  </si>
  <si>
    <t>Kommentar3</t>
  </si>
  <si>
    <t>Mål</t>
  </si>
  <si>
    <t xml:space="preserve">BruddKode </t>
  </si>
  <si>
    <t>Snitt</t>
  </si>
  <si>
    <t>mR</t>
  </si>
  <si>
    <t>Snitt1</t>
  </si>
  <si>
    <t>Snitt2</t>
  </si>
  <si>
    <t>Snitt3</t>
  </si>
  <si>
    <t>Snitt4</t>
  </si>
  <si>
    <t>Snitt5</t>
  </si>
  <si>
    <t>Snitt6</t>
  </si>
  <si>
    <t>Snitt7</t>
  </si>
  <si>
    <t>UCL1</t>
  </si>
  <si>
    <t>UCL2</t>
  </si>
  <si>
    <t>UCL3</t>
  </si>
  <si>
    <t>UCL4</t>
  </si>
  <si>
    <t>UCL5</t>
  </si>
  <si>
    <t>UCL6</t>
  </si>
  <si>
    <t>UCL7</t>
  </si>
  <si>
    <t>LCL1</t>
  </si>
  <si>
    <t>LCL2</t>
  </si>
  <si>
    <t>LCL3</t>
  </si>
  <si>
    <t>LCL4</t>
  </si>
  <si>
    <t>LCL5</t>
  </si>
  <si>
    <t>LCL6</t>
  </si>
  <si>
    <t>LCL7</t>
  </si>
  <si>
    <t>Median1</t>
  </si>
  <si>
    <t>Median2</t>
  </si>
  <si>
    <t>Median3</t>
  </si>
  <si>
    <t>Median4</t>
  </si>
  <si>
    <t>Median5</t>
  </si>
  <si>
    <t>Median6</t>
  </si>
  <si>
    <t>Median7</t>
  </si>
  <si>
    <t>Verdi1</t>
  </si>
  <si>
    <t>Verdi2</t>
  </si>
  <si>
    <t>Verdi3</t>
  </si>
  <si>
    <t>Verdi4</t>
  </si>
  <si>
    <t>Verdi5</t>
  </si>
  <si>
    <t>Verdi6</t>
  </si>
  <si>
    <t>Verdi7</t>
  </si>
  <si>
    <t>ser_indeks</t>
  </si>
  <si>
    <t>serie_nr</t>
  </si>
  <si>
    <t>til_brudd_rader</t>
  </si>
  <si>
    <t>verdi_korrigert</t>
  </si>
  <si>
    <t>rang</t>
  </si>
  <si>
    <t>rang_samme</t>
  </si>
  <si>
    <t>rang_stig</t>
  </si>
  <si>
    <t>rang_synk</t>
  </si>
  <si>
    <t>rang_stigsynk</t>
  </si>
  <si>
    <t>trend_omr</t>
  </si>
  <si>
    <t>Test 3: trend</t>
  </si>
  <si>
    <t>skifte_lav1</t>
  </si>
  <si>
    <t>skifte_høy1</t>
  </si>
  <si>
    <t>skifte_lav2</t>
  </si>
  <si>
    <t>skifte_høy2</t>
  </si>
  <si>
    <t>Test 2: skifte</t>
  </si>
  <si>
    <t>Test1: punkt utenfor kontrollgrense</t>
  </si>
  <si>
    <t>Verdi_korrigert_blank</t>
  </si>
  <si>
    <t>Verdi_korrigert_IT</t>
  </si>
  <si>
    <t>ForrigeGyldige</t>
  </si>
  <si>
    <t>EkslGraf</t>
  </si>
  <si>
    <t>VisKommentar</t>
  </si>
  <si>
    <t>Kommentar4</t>
  </si>
  <si>
    <t>Kontrolldiagram (i-diagram). Viser øvre (UCL) og nedre (LCL) kontrollgrense og gjennomsnitt.</t>
  </si>
  <si>
    <t>x</t>
  </si>
  <si>
    <t>glemte å ta tiden</t>
  </si>
  <si>
    <t>*</t>
  </si>
  <si>
    <t>ny prosedyre</t>
  </si>
  <si>
    <t>Vekting</t>
  </si>
  <si>
    <t>Maksimalskår:</t>
  </si>
  <si>
    <t>Totalskår</t>
  </si>
  <si>
    <t>Totalskår prosent</t>
  </si>
  <si>
    <t>Kommentar</t>
  </si>
  <si>
    <t>Kategori</t>
  </si>
  <si>
    <t>Sum</t>
  </si>
  <si>
    <t>Endringer i malen</t>
  </si>
  <si>
    <t>Feilretting: Fjernet data som lå utenfor tabellen, som hindret tabellen i å utivde seg automatisk</t>
  </si>
  <si>
    <t>Utvidet: Nå er det mulig å ha inntil 7 brudd</t>
  </si>
  <si>
    <t>Lagt inn statistiske tester. Flyttet beregningstabellen opp over datatabellen, slik at rader fra datatabellen kan slettes uten at funksjonaliteten brytes. Tilpasset tabell og diagram for utskrift.</t>
  </si>
  <si>
    <t>Test for trend er justert til samme regler som i EpiData. 6 punkter kreves for trend, inkluderer første punkt. Dette kan endres i celle CC2 (antall punkter krevet) og CC3 (inkludere første punkt - 1 for ja)</t>
  </si>
  <si>
    <t>Lagt inn fane for skåringstabell, pareto og pareto-negativ. Default er at SPC-fanen ikke henter data fra skåringstabellen.</t>
  </si>
  <si>
    <t xml:space="preserve">Fargelagt kolonnen for verdi (grønn) og brudd (grå), for å gjøre disse mer synlig. </t>
  </si>
  <si>
    <t>Betinget formatering fremhever brudd-markering, manglende verdi og manglende radnummerering</t>
  </si>
  <si>
    <t>Symboler vises for de tre testene i forklaringsboksen i SPC-fanen</t>
  </si>
  <si>
    <t>Eksklusjon av datapunkter er innført</t>
  </si>
  <si>
    <t>Feilretting: feil i koden for 7. periode er rettet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</si>
</sst>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"/>
    <numFmt numFmtId="165" formatCode="_ * #,##0.0_ ;_ * \-#,##0.0_ ;_ * &quot;-&quot;??_ ;_ @_ 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7F7F7F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BFBFB"/>
      <name val="Calibri"/>
      <family val="2"/>
      <scheme val="minor"/>
    </font>
    <font>
      <b/>
      <sz val="20"/>
      <color theme="3"/>
      <name val="Calibri Light"/>
      <family val="2"/>
      <scheme val="major"/>
    </font>
    <font>
      <sz val="8"/>
      <color theme="1"/>
      <name val="Calibri"/>
      <family val="2"/>
      <scheme val="minor"/>
    </font>
    <font>
      <sz val="9"/>
      <color rgb="FF3F3F76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61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BFBFB"/>
        <bgColor indexed="64"/>
      </patternFill>
    </fill>
    <fill>
      <patternFill patternType="solid">
        <fgColor rgb="FFC6EFCE"/>
      </patternFill>
    </fill>
    <fill>
      <patternFill patternType="solid">
        <fgColor theme="6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8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2" borderId="1" applyNumberFormat="0" applyFont="0" applyAlignment="0" applyProtection="0"/>
    <xf numFmtId="0" fontId="4" fillId="3" borderId="2" applyNumberFormat="0" applyAlignment="0" applyProtection="0"/>
    <xf numFmtId="43" fontId="3" fillId="0" borderId="0" applyFont="0" applyFill="0" applyBorder="0" applyAlignment="0" applyProtection="0"/>
    <xf numFmtId="0" fontId="14" fillId="5" borderId="0" applyNumberFormat="0" applyBorder="0" applyAlignment="0" applyProtection="0"/>
    <xf numFmtId="0" fontId="3" fillId="6" borderId="0" applyNumberFormat="0" applyBorder="0" applyAlignment="0" applyProtection="0"/>
  </cellStyleXfs>
  <cellXfs count="38">
    <xf numFmtId="0" fontId="0" fillId="0" borderId="0" xfId="0"/>
    <xf numFmtId="0" fontId="2" fillId="0" borderId="0" xfId="2"/>
    <xf numFmtId="2" fontId="0" fillId="0" borderId="0" xfId="0" applyNumberFormat="1"/>
    <xf numFmtId="0" fontId="0" fillId="4" borderId="0" xfId="0" applyFill="1"/>
    <xf numFmtId="14" fontId="0" fillId="0" borderId="0" xfId="0" applyNumberFormat="1"/>
    <xf numFmtId="164" fontId="0" fillId="0" borderId="0" xfId="0" applyNumberFormat="1"/>
    <xf numFmtId="0" fontId="6" fillId="0" borderId="0" xfId="0" applyFont="1"/>
    <xf numFmtId="164" fontId="6" fillId="0" borderId="0" xfId="0" applyNumberFormat="1" applyFont="1"/>
    <xf numFmtId="0" fontId="6" fillId="4" borderId="0" xfId="0" applyFont="1" applyFill="1"/>
    <xf numFmtId="0" fontId="7" fillId="2" borderId="1" xfId="3" applyFont="1"/>
    <xf numFmtId="0" fontId="7" fillId="2" borderId="1" xfId="3" applyNumberFormat="1" applyFont="1"/>
    <xf numFmtId="0" fontId="4" fillId="3" borderId="2" xfId="4" applyAlignment="1">
      <alignment horizontal="left"/>
    </xf>
    <xf numFmtId="0" fontId="4" fillId="3" borderId="2" xfId="4"/>
    <xf numFmtId="0" fontId="5" fillId="2" borderId="1" xfId="3" applyFont="1"/>
    <xf numFmtId="0" fontId="4" fillId="3" borderId="2" xfId="4" applyAlignment="1">
      <alignment vertical="center"/>
    </xf>
    <xf numFmtId="0" fontId="10" fillId="0" borderId="0" xfId="2" applyFont="1" applyAlignment="1"/>
    <xf numFmtId="0" fontId="6" fillId="2" borderId="1" xfId="3" applyFont="1"/>
    <xf numFmtId="0" fontId="6" fillId="0" borderId="3" xfId="0" applyFont="1" applyBorder="1"/>
    <xf numFmtId="0" fontId="6" fillId="0" borderId="4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5" xfId="0" applyFont="1" applyBorder="1"/>
    <xf numFmtId="2" fontId="6" fillId="0" borderId="0" xfId="0" applyNumberFormat="1" applyFont="1"/>
    <xf numFmtId="2" fontId="6" fillId="0" borderId="6" xfId="0" applyNumberFormat="1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8" fillId="0" borderId="8" xfId="0" applyFont="1" applyBorder="1"/>
    <xf numFmtId="0" fontId="9" fillId="0" borderId="8" xfId="0" applyFont="1" applyBorder="1"/>
    <xf numFmtId="0" fontId="6" fillId="0" borderId="9" xfId="0" applyFont="1" applyBorder="1"/>
    <xf numFmtId="0" fontId="11" fillId="0" borderId="0" xfId="0" applyFont="1"/>
    <xf numFmtId="0" fontId="12" fillId="3" borderId="2" xfId="4" applyFont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5" applyNumberFormat="1" applyFont="1" applyAlignment="1">
      <alignment horizontal="center" vertical="center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4" fillId="5" borderId="0" xfId="6"/>
    <xf numFmtId="0" fontId="3" fillId="6" borderId="0" xfId="7"/>
  </cellXfs>
  <cellStyles count="8">
    <cellStyle name="20 % – uthevingsfarge 3" xfId="7" builtinId="38"/>
    <cellStyle name="God" xfId="6" builtinId="26"/>
    <cellStyle name="Inndata" xfId="4" builtinId="20"/>
    <cellStyle name="Komma" xfId="5" builtinId="3"/>
    <cellStyle name="Merknad" xfId="3" builtinId="10"/>
    <cellStyle name="Normal" xfId="0" builtinId="0"/>
    <cellStyle name="Normal 2" xfId="1" xr:uid="{00000000-0005-0000-0000-000006000000}"/>
    <cellStyle name="Tittel" xfId="2" builtinId="15"/>
  </cellStyles>
  <dxfs count="81">
    <dxf>
      <fill>
        <patternFill>
          <bgColor theme="0" tint="-4.9989318521683403E-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alignment horizontal="center" vertical="center" textRotation="0" wrapText="0" indent="0" justifyLastLine="0" shrinkToFit="0" readingOrder="0"/>
    </dxf>
    <dxf>
      <numFmt numFmtId="165" formatCode="_ * #,##0.0_ ;_ * \-#,##0.0_ ;_ * &quot;-&quot;??_ ;_ @_ "/>
      <alignment horizontal="center" vertical="center" textRotation="0" wrapText="0" indent="0" justifyLastLine="0" shrinkToFit="0" readingOrder="0"/>
    </dxf>
    <dxf>
      <numFmt numFmtId="0" formatCode="General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2" formatCode="0.00"/>
    </dxf>
    <dxf>
      <numFmt numFmtId="0" formatCode="General"/>
    </dxf>
    <dxf>
      <numFmt numFmtId="0" formatCode="General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</dxf>
    <dxf>
      <numFmt numFmtId="0" formatCode="General"/>
    </dxf>
  </dxfs>
  <tableStyles count="0" defaultTableStyle="TableStyleMedium2" defaultPivotStyle="PivotStyleLight16"/>
  <colors>
    <mruColors>
      <color rgb="FFFF8181"/>
      <color rgb="FFF58383"/>
      <color rgb="FFFBFBFB"/>
      <color rgb="FFBF9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SPC!$A$4</c:f>
          <c:strCache>
            <c:ptCount val="1"/>
            <c:pt idx="0">
              <c:v>Overskrift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8560879235832067E-2"/>
          <c:y val="0.16086786952551926"/>
          <c:w val="0.91001698510165208"/>
          <c:h val="0.61666493726838123"/>
        </c:manualLayout>
      </c:layout>
      <c:lineChart>
        <c:grouping val="standard"/>
        <c:varyColors val="0"/>
        <c:ser>
          <c:idx val="32"/>
          <c:order val="0"/>
          <c:tx>
            <c:strRef>
              <c:f>SPC!$BQ$14</c:f>
              <c:strCache>
                <c:ptCount val="1"/>
                <c:pt idx="0">
                  <c:v>EkslGraf</c:v>
                </c:pt>
              </c:strCache>
            </c:strRef>
          </c:tx>
          <c:spPr>
            <a:ln w="9525" cap="rnd">
              <a:solidFill>
                <a:srgbClr val="5B9BD5">
                  <a:lumMod val="60000"/>
                  <a:lumOff val="40000"/>
                  <a:alpha val="60000"/>
                </a:srgbClr>
              </a:solidFill>
              <a:prstDash val="dash"/>
              <a:round/>
            </a:ln>
            <a:effectLst/>
          </c:spPr>
          <c:marker>
            <c:symbol val="circle"/>
            <c:size val="4"/>
            <c:spPr>
              <a:noFill/>
              <a:ln w="3175">
                <a:solidFill>
                  <a:srgbClr val="5B9BD5">
                    <a:lumMod val="60000"/>
                    <a:lumOff val="40000"/>
                  </a:srgbClr>
                </a:solidFill>
                <a:prstDash val="sysDash"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1056D615-DA9F-42AB-B3EC-346DBAFC37C0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3E41-4E52-8EFB-40073791CF0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C7B592C-D46E-43D2-B363-BC46F026EC22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3E41-4E52-8EFB-40073791CF0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9D8B9E8-88D4-43CA-AB24-A6EED3CDB110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89FE-4D16-AB82-6168AE77603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E3F12A0-D8AB-4995-A036-ADBD47CA2219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89FE-4D16-AB82-6168AE77603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2B3BAA7-7789-4C7B-B3A7-7400944D38FB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89FE-4D16-AB82-6168AE77603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C695705-E63C-433B-9AE9-5CFE421813E0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89FE-4D16-AB82-6168AE77603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5BAC1777-8548-451A-A717-169A237F04C6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89FE-4D16-AB82-6168AE77603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60C9EFD6-89DC-44FB-8F84-0285FE1F2927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89FE-4D16-AB82-6168AE77603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20BB450A-8FDE-4766-8733-74263C771BB0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89FE-4D16-AB82-6168AE77603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0E078408-595C-4224-8D2E-D02824C46F08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89FE-4D16-AB82-6168AE77603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E6BCDB1A-BCE5-492D-9FBB-C1D5D52B5E1A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89FE-4D16-AB82-6168AE77603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42893605-F0FA-4CF7-B1AE-61194604BAA4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89FE-4D16-AB82-6168AE77603F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41885184-B6DE-49FA-88BC-95E376793C84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89FE-4D16-AB82-6168AE77603F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6766649F-17C2-4045-A0D6-AE8632D54878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89FE-4D16-AB82-6168AE77603F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FE3A1EA2-DBF4-42AB-8522-2F40CAD87CE8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89FE-4D16-AB82-6168AE77603F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8AD98672-F1BD-4F63-9F82-9CD62A897ADA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89FE-4D16-AB82-6168AE77603F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06CAF384-0CF7-4E34-8AAA-74F5D5D3BD5E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89FE-4D16-AB82-6168AE77603F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443664FB-C0BB-44BC-BBD5-3A1AB5A55DD7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89FE-4D16-AB82-6168AE77603F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259A9132-C5F4-441C-A3E7-C24A9FE9E763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89FE-4D16-AB82-6168AE77603F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FE4E08BE-E886-47A0-AFAE-1FA4675F538C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1956-483B-BB64-5C3F9E97AC97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CE05F632-BE97-46CB-A9C5-83B73A3FBF5B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1956-483B-BB64-5C3F9E97AC97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4A82BD9E-440C-4E29-ABF4-55607B2098AF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1956-483B-BB64-5C3F9E97AC97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7E4316F8-858B-494A-AFAC-BD555EC65D02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1956-483B-BB64-5C3F9E97AC97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47DBDE60-FDE6-4A3D-B5B8-5E8BA2F3B801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1956-483B-BB64-5C3F9E97AC97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63D37FCC-DC41-44A7-A3D4-9654916C2351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1956-483B-BB64-5C3F9E97AC97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3A0F12E7-A5BB-427D-B3CE-CCB76BB7E09A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1956-483B-BB64-5C3F9E97AC97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72B258D5-A02F-4889-AA63-9FC45B8DF186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1956-483B-BB64-5C3F9E97AC97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36CFBEE5-9FE2-4BB6-BE0E-F8A104F25943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1956-483B-BB64-5C3F9E97AC97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E61182EF-A80F-4289-8777-CEF0B4CBF95A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1956-483B-BB64-5C3F9E97AC97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32BD15D0-BA13-4376-95BB-4A2A539F8AF1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1956-483B-BB64-5C3F9E97AC97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6301DD99-7C39-4A33-AB3C-DAFA0F831B85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1956-483B-BB64-5C3F9E97AC97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3BC02490-DEBF-4F22-8758-58A7430D2383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1956-483B-BB64-5C3F9E97AC97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3B2014DC-5BDD-45E8-8915-B8F028042332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1956-483B-BB64-5C3F9E97AC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0" tIns="0" rIns="0" bIns="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DataLabelsRange val="1"/>
                <c15:showLeaderLines val="0"/>
              </c:ext>
            </c:extLst>
          </c:dLbls>
          <c:cat>
            <c:numRef>
              <c:f>SPC!$A$15:$A$47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SPC!$BQ$15:$BQ$47</c:f>
              <c:numCache>
                <c:formatCode>General</c:formatCode>
                <c:ptCount val="33"/>
                <c:pt idx="0">
                  <c:v>52</c:v>
                </c:pt>
                <c:pt idx="1">
                  <c:v>48</c:v>
                </c:pt>
                <c:pt idx="2">
                  <c:v>54</c:v>
                </c:pt>
                <c:pt idx="3">
                  <c:v>47</c:v>
                </c:pt>
                <c:pt idx="4">
                  <c:v>45</c:v>
                </c:pt>
                <c:pt idx="5">
                  <c:v>49</c:v>
                </c:pt>
                <c:pt idx="6">
                  <c:v>53</c:v>
                </c:pt>
                <c:pt idx="7">
                  <c:v>44</c:v>
                </c:pt>
                <c:pt idx="8">
                  <c:v>100</c:v>
                </c:pt>
                <c:pt idx="9">
                  <c:v>51</c:v>
                </c:pt>
                <c:pt idx="10">
                  <c:v>4</c:v>
                </c:pt>
                <c:pt idx="11">
                  <c:v>58</c:v>
                </c:pt>
                <c:pt idx="12">
                  <c:v>54</c:v>
                </c:pt>
                <c:pt idx="13">
                  <c:v>42</c:v>
                </c:pt>
                <c:pt idx="14">
                  <c:v>38</c:v>
                </c:pt>
                <c:pt idx="15">
                  <c:v>36</c:v>
                </c:pt>
                <c:pt idx="16">
                  <c:v>44</c:v>
                </c:pt>
                <c:pt idx="17">
                  <c:v>37</c:v>
                </c:pt>
                <c:pt idx="18">
                  <c:v>39</c:v>
                </c:pt>
                <c:pt idx="19">
                  <c:v>53</c:v>
                </c:pt>
                <c:pt idx="20">
                  <c:v>44</c:v>
                </c:pt>
                <c:pt idx="21">
                  <c:v>100</c:v>
                </c:pt>
                <c:pt idx="22">
                  <c:v>51</c:v>
                </c:pt>
                <c:pt idx="23">
                  <c:v>4</c:v>
                </c:pt>
                <c:pt idx="24">
                  <c:v>58</c:v>
                </c:pt>
                <c:pt idx="25">
                  <c:v>54</c:v>
                </c:pt>
                <c:pt idx="26">
                  <c:v>42</c:v>
                </c:pt>
                <c:pt idx="27">
                  <c:v>38</c:v>
                </c:pt>
                <c:pt idx="28">
                  <c:v>36</c:v>
                </c:pt>
                <c:pt idx="29">
                  <c:v>44</c:v>
                </c:pt>
                <c:pt idx="30">
                  <c:v>37</c:v>
                </c:pt>
                <c:pt idx="31">
                  <c:v>39</c:v>
                </c:pt>
                <c:pt idx="32">
                  <c:v>18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SPC!$E$15:$E$47</c15:f>
                <c15:dlblRangeCache>
                  <c:ptCount val="33"/>
                  <c:pt idx="10">
                    <c:v>glemte å ta tiden</c:v>
                  </c:pt>
                  <c:pt idx="13">
                    <c:v>ny prosedyre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2954-4ACE-9901-C0CB4DF41CDC}"/>
            </c:ext>
          </c:extLst>
        </c:ser>
        <c:ser>
          <c:idx val="2"/>
          <c:order val="1"/>
          <c:tx>
            <c:strRef>
              <c:f>SPC!$H$14</c:f>
              <c:strCache>
                <c:ptCount val="1"/>
                <c:pt idx="0">
                  <c:v>Mål</c:v>
                </c:pt>
              </c:strCache>
            </c:strRef>
          </c:tx>
          <c:spPr>
            <a:ln w="12700" cap="rnd">
              <a:solidFill>
                <a:srgbClr val="00B0F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SPC!$A$15:$A$47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SPC!$H$15:$H$47</c:f>
              <c:numCache>
                <c:formatCode>General</c:formatCode>
                <c:ptCount val="3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6C-4E91-82CF-24F653D46838}"/>
            </c:ext>
          </c:extLst>
        </c:ser>
        <c:ser>
          <c:idx val="3"/>
          <c:order val="2"/>
          <c:tx>
            <c:strRef>
              <c:f>SPC!$N$14</c:f>
              <c:strCache>
                <c:ptCount val="1"/>
                <c:pt idx="0">
                  <c:v>Snitt1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SPC!$A$15:$A$47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SPC!$N$15:$N$47</c:f>
              <c:numCache>
                <c:formatCode>General</c:formatCode>
                <c:ptCount val="33"/>
                <c:pt idx="0">
                  <c:v>54.583333333333336</c:v>
                </c:pt>
                <c:pt idx="1">
                  <c:v>54.583333333333336</c:v>
                </c:pt>
                <c:pt idx="2">
                  <c:v>54.583333333333336</c:v>
                </c:pt>
                <c:pt idx="3">
                  <c:v>54.583333333333336</c:v>
                </c:pt>
                <c:pt idx="4">
                  <c:v>54.583333333333336</c:v>
                </c:pt>
                <c:pt idx="5">
                  <c:v>54.583333333333336</c:v>
                </c:pt>
                <c:pt idx="6">
                  <c:v>54.583333333333336</c:v>
                </c:pt>
                <c:pt idx="7">
                  <c:v>54.583333333333336</c:v>
                </c:pt>
                <c:pt idx="8">
                  <c:v>54.583333333333336</c:v>
                </c:pt>
                <c:pt idx="9">
                  <c:v>54.583333333333336</c:v>
                </c:pt>
                <c:pt idx="10">
                  <c:v>54.583333333333336</c:v>
                </c:pt>
                <c:pt idx="11">
                  <c:v>54.583333333333336</c:v>
                </c:pt>
                <c:pt idx="12">
                  <c:v>54.583333333333336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6C-41EC-821F-0A5EF146D46B}"/>
            </c:ext>
          </c:extLst>
        </c:ser>
        <c:ser>
          <c:idx val="5"/>
          <c:order val="3"/>
          <c:tx>
            <c:strRef>
              <c:f>SPC!$O$14</c:f>
              <c:strCache>
                <c:ptCount val="1"/>
                <c:pt idx="0">
                  <c:v>Snitt2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SPC!$A$15:$A$47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SPC!$O$15:$O$47</c:f>
              <c:numCache>
                <c:formatCode>General</c:formatCode>
                <c:ptCount val="3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42.7</c:v>
                </c:pt>
                <c:pt idx="14">
                  <c:v>42.7</c:v>
                </c:pt>
                <c:pt idx="15">
                  <c:v>42.7</c:v>
                </c:pt>
                <c:pt idx="16">
                  <c:v>42.7</c:v>
                </c:pt>
                <c:pt idx="17">
                  <c:v>42.7</c:v>
                </c:pt>
                <c:pt idx="18">
                  <c:v>42.7</c:v>
                </c:pt>
                <c:pt idx="19">
                  <c:v>42.7</c:v>
                </c:pt>
                <c:pt idx="20">
                  <c:v>42.7</c:v>
                </c:pt>
                <c:pt idx="21">
                  <c:v>42.7</c:v>
                </c:pt>
                <c:pt idx="22">
                  <c:v>42.7</c:v>
                </c:pt>
                <c:pt idx="23">
                  <c:v>42.7</c:v>
                </c:pt>
                <c:pt idx="24">
                  <c:v>42.7</c:v>
                </c:pt>
                <c:pt idx="25">
                  <c:v>42.7</c:v>
                </c:pt>
                <c:pt idx="26">
                  <c:v>42.7</c:v>
                </c:pt>
                <c:pt idx="27">
                  <c:v>42.7</c:v>
                </c:pt>
                <c:pt idx="28">
                  <c:v>42.7</c:v>
                </c:pt>
                <c:pt idx="29">
                  <c:v>42.7</c:v>
                </c:pt>
                <c:pt idx="30">
                  <c:v>42.7</c:v>
                </c:pt>
                <c:pt idx="31">
                  <c:v>42.7</c:v>
                </c:pt>
                <c:pt idx="32">
                  <c:v>42.7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6C-41EC-821F-0A5EF146D46B}"/>
            </c:ext>
          </c:extLst>
        </c:ser>
        <c:ser>
          <c:idx val="6"/>
          <c:order val="4"/>
          <c:tx>
            <c:strRef>
              <c:f>SPC!$P$14</c:f>
              <c:strCache>
                <c:ptCount val="1"/>
                <c:pt idx="0">
                  <c:v>Snitt3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SPC!$A$15:$A$47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SPC!$P$15:$P$47</c:f>
              <c:numCache>
                <c:formatCode>0.00</c:formatCode>
                <c:ptCount val="3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6C-41EC-821F-0A5EF146D46B}"/>
            </c:ext>
          </c:extLst>
        </c:ser>
        <c:ser>
          <c:idx val="7"/>
          <c:order val="5"/>
          <c:tx>
            <c:strRef>
              <c:f>SPC!$Q$14</c:f>
              <c:strCache>
                <c:ptCount val="1"/>
                <c:pt idx="0">
                  <c:v>Snitt4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SPC!$A$15:$A$47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SPC!$Q$15:$Q$47</c:f>
              <c:numCache>
                <c:formatCode>General</c:formatCode>
                <c:ptCount val="3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C3-4E16-B2D7-A90BBBB6CE59}"/>
            </c:ext>
          </c:extLst>
        </c:ser>
        <c:ser>
          <c:idx val="8"/>
          <c:order val="6"/>
          <c:tx>
            <c:strRef>
              <c:f>SPC!$U$14</c:f>
              <c:strCache>
                <c:ptCount val="1"/>
                <c:pt idx="0">
                  <c:v>UCL1</c:v>
                </c:pt>
              </c:strCache>
            </c:strRef>
          </c:tx>
          <c:spPr>
            <a:ln w="1460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SPC!$A$15:$A$47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SPC!$U$15:$U$47</c:f>
              <c:numCache>
                <c:formatCode>General</c:formatCode>
                <c:ptCount val="33"/>
                <c:pt idx="0">
                  <c:v>91.339696969696973</c:v>
                </c:pt>
                <c:pt idx="1">
                  <c:v>91.339696969696973</c:v>
                </c:pt>
                <c:pt idx="2">
                  <c:v>91.339696969696973</c:v>
                </c:pt>
                <c:pt idx="3">
                  <c:v>91.339696969696973</c:v>
                </c:pt>
                <c:pt idx="4">
                  <c:v>91.339696969696973</c:v>
                </c:pt>
                <c:pt idx="5">
                  <c:v>91.339696969696973</c:v>
                </c:pt>
                <c:pt idx="6">
                  <c:v>91.339696969696973</c:v>
                </c:pt>
                <c:pt idx="7">
                  <c:v>91.339696969696973</c:v>
                </c:pt>
                <c:pt idx="8">
                  <c:v>91.339696969696973</c:v>
                </c:pt>
                <c:pt idx="9">
                  <c:v>91.339696969696973</c:v>
                </c:pt>
                <c:pt idx="10">
                  <c:v>91.339696969696973</c:v>
                </c:pt>
                <c:pt idx="11">
                  <c:v>91.339696969696973</c:v>
                </c:pt>
                <c:pt idx="12">
                  <c:v>91.339696969696973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C3-4E16-B2D7-A90BBBB6CE59}"/>
            </c:ext>
          </c:extLst>
        </c:ser>
        <c:ser>
          <c:idx val="9"/>
          <c:order val="7"/>
          <c:tx>
            <c:strRef>
              <c:f>SPC!$V$14</c:f>
              <c:strCache>
                <c:ptCount val="1"/>
                <c:pt idx="0">
                  <c:v>UCL2</c:v>
                </c:pt>
              </c:strCache>
            </c:strRef>
          </c:tx>
          <c:spPr>
            <a:ln w="1460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SPC!$A$15:$A$47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SPC!$V$15:$V$47</c:f>
              <c:numCache>
                <c:formatCode>General</c:formatCode>
                <c:ptCount val="3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86.38000000000001</c:v>
                </c:pt>
                <c:pt idx="14">
                  <c:v>86.38000000000001</c:v>
                </c:pt>
                <c:pt idx="15">
                  <c:v>86.38000000000001</c:v>
                </c:pt>
                <c:pt idx="16">
                  <c:v>86.38000000000001</c:v>
                </c:pt>
                <c:pt idx="17">
                  <c:v>86.38000000000001</c:v>
                </c:pt>
                <c:pt idx="18">
                  <c:v>86.38000000000001</c:v>
                </c:pt>
                <c:pt idx="19">
                  <c:v>86.38000000000001</c:v>
                </c:pt>
                <c:pt idx="20">
                  <c:v>86.38000000000001</c:v>
                </c:pt>
                <c:pt idx="21">
                  <c:v>86.38000000000001</c:v>
                </c:pt>
                <c:pt idx="22">
                  <c:v>86.38000000000001</c:v>
                </c:pt>
                <c:pt idx="23">
                  <c:v>86.38000000000001</c:v>
                </c:pt>
                <c:pt idx="24">
                  <c:v>86.38000000000001</c:v>
                </c:pt>
                <c:pt idx="25">
                  <c:v>86.38000000000001</c:v>
                </c:pt>
                <c:pt idx="26">
                  <c:v>86.38000000000001</c:v>
                </c:pt>
                <c:pt idx="27">
                  <c:v>86.38000000000001</c:v>
                </c:pt>
                <c:pt idx="28">
                  <c:v>86.38000000000001</c:v>
                </c:pt>
                <c:pt idx="29">
                  <c:v>86.38000000000001</c:v>
                </c:pt>
                <c:pt idx="30">
                  <c:v>86.38000000000001</c:v>
                </c:pt>
                <c:pt idx="31">
                  <c:v>86.38000000000001</c:v>
                </c:pt>
                <c:pt idx="32">
                  <c:v>86.38000000000001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C3-4E16-B2D7-A90BBBB6CE59}"/>
            </c:ext>
          </c:extLst>
        </c:ser>
        <c:ser>
          <c:idx val="10"/>
          <c:order val="8"/>
          <c:tx>
            <c:strRef>
              <c:f>SPC!$W$14</c:f>
              <c:strCache>
                <c:ptCount val="1"/>
                <c:pt idx="0">
                  <c:v>UCL3</c:v>
                </c:pt>
              </c:strCache>
            </c:strRef>
          </c:tx>
          <c:spPr>
            <a:ln w="1460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SPC!$A$15:$A$47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SPC!$W$15:$W$47</c:f>
              <c:numCache>
                <c:formatCode>General</c:formatCode>
                <c:ptCount val="3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C3-4E16-B2D7-A90BBBB6CE59}"/>
            </c:ext>
          </c:extLst>
        </c:ser>
        <c:ser>
          <c:idx val="11"/>
          <c:order val="9"/>
          <c:tx>
            <c:strRef>
              <c:f>SPC!$X$14</c:f>
              <c:strCache>
                <c:ptCount val="1"/>
                <c:pt idx="0">
                  <c:v>UCL4</c:v>
                </c:pt>
              </c:strCache>
            </c:strRef>
          </c:tx>
          <c:spPr>
            <a:ln w="1460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SPC!$A$15:$A$47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SPC!$X$15:$X$47</c:f>
              <c:numCache>
                <c:formatCode>General</c:formatCode>
                <c:ptCount val="3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C3-4E16-B2D7-A90BBBB6CE59}"/>
            </c:ext>
          </c:extLst>
        </c:ser>
        <c:ser>
          <c:idx val="12"/>
          <c:order val="10"/>
          <c:tx>
            <c:strRef>
              <c:f>SPC!$AB$14</c:f>
              <c:strCache>
                <c:ptCount val="1"/>
                <c:pt idx="0">
                  <c:v>LCL1</c:v>
                </c:pt>
              </c:strCache>
            </c:strRef>
          </c:tx>
          <c:spPr>
            <a:ln w="1460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SPC!$A$15:$A$47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SPC!$AB$15:$AB$47</c:f>
              <c:numCache>
                <c:formatCode>General</c:formatCode>
                <c:ptCount val="33"/>
                <c:pt idx="0">
                  <c:v>17.826969696969698</c:v>
                </c:pt>
                <c:pt idx="1">
                  <c:v>17.826969696969698</c:v>
                </c:pt>
                <c:pt idx="2">
                  <c:v>17.826969696969698</c:v>
                </c:pt>
                <c:pt idx="3">
                  <c:v>17.826969696969698</c:v>
                </c:pt>
                <c:pt idx="4">
                  <c:v>17.826969696969698</c:v>
                </c:pt>
                <c:pt idx="5">
                  <c:v>17.826969696969698</c:v>
                </c:pt>
                <c:pt idx="6">
                  <c:v>17.826969696969698</c:v>
                </c:pt>
                <c:pt idx="7">
                  <c:v>17.826969696969698</c:v>
                </c:pt>
                <c:pt idx="8">
                  <c:v>17.826969696969698</c:v>
                </c:pt>
                <c:pt idx="9">
                  <c:v>17.826969696969698</c:v>
                </c:pt>
                <c:pt idx="10">
                  <c:v>17.826969696969698</c:v>
                </c:pt>
                <c:pt idx="11">
                  <c:v>17.826969696969698</c:v>
                </c:pt>
                <c:pt idx="12">
                  <c:v>17.826969696969698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5C3-4E16-B2D7-A90BBBB6CE59}"/>
            </c:ext>
          </c:extLst>
        </c:ser>
        <c:ser>
          <c:idx val="13"/>
          <c:order val="11"/>
          <c:tx>
            <c:strRef>
              <c:f>SPC!$AC$14</c:f>
              <c:strCache>
                <c:ptCount val="1"/>
                <c:pt idx="0">
                  <c:v>LCL2</c:v>
                </c:pt>
              </c:strCache>
            </c:strRef>
          </c:tx>
          <c:spPr>
            <a:ln w="1460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SPC!$A$15:$A$47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SPC!$AC$15:$AC$47</c:f>
              <c:numCache>
                <c:formatCode>General</c:formatCode>
                <c:ptCount val="3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-0.98000000000000398</c:v>
                </c:pt>
                <c:pt idx="14">
                  <c:v>-0.98000000000000398</c:v>
                </c:pt>
                <c:pt idx="15">
                  <c:v>-0.98000000000000398</c:v>
                </c:pt>
                <c:pt idx="16">
                  <c:v>-0.98000000000000398</c:v>
                </c:pt>
                <c:pt idx="17">
                  <c:v>-0.98000000000000398</c:v>
                </c:pt>
                <c:pt idx="18">
                  <c:v>-0.98000000000000398</c:v>
                </c:pt>
                <c:pt idx="19">
                  <c:v>-0.98000000000000398</c:v>
                </c:pt>
                <c:pt idx="20">
                  <c:v>-0.98000000000000398</c:v>
                </c:pt>
                <c:pt idx="21">
                  <c:v>-0.98000000000000398</c:v>
                </c:pt>
                <c:pt idx="22">
                  <c:v>-0.98000000000000398</c:v>
                </c:pt>
                <c:pt idx="23">
                  <c:v>-0.98000000000000398</c:v>
                </c:pt>
                <c:pt idx="24">
                  <c:v>-0.98000000000000398</c:v>
                </c:pt>
                <c:pt idx="25">
                  <c:v>-0.98000000000000398</c:v>
                </c:pt>
                <c:pt idx="26">
                  <c:v>-0.98000000000000398</c:v>
                </c:pt>
                <c:pt idx="27">
                  <c:v>-0.98000000000000398</c:v>
                </c:pt>
                <c:pt idx="28">
                  <c:v>-0.98000000000000398</c:v>
                </c:pt>
                <c:pt idx="29">
                  <c:v>-0.98000000000000398</c:v>
                </c:pt>
                <c:pt idx="30">
                  <c:v>-0.98000000000000398</c:v>
                </c:pt>
                <c:pt idx="31">
                  <c:v>-0.98000000000000398</c:v>
                </c:pt>
                <c:pt idx="32">
                  <c:v>-0.98000000000000398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5C3-4E16-B2D7-A90BBBB6CE59}"/>
            </c:ext>
          </c:extLst>
        </c:ser>
        <c:ser>
          <c:idx val="14"/>
          <c:order val="12"/>
          <c:tx>
            <c:strRef>
              <c:f>SPC!$AD$14</c:f>
              <c:strCache>
                <c:ptCount val="1"/>
                <c:pt idx="0">
                  <c:v>LCL3</c:v>
                </c:pt>
              </c:strCache>
            </c:strRef>
          </c:tx>
          <c:spPr>
            <a:ln w="1460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SPC!$A$15:$A$47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SPC!$AD$15:$AD$47</c:f>
              <c:numCache>
                <c:formatCode>General</c:formatCode>
                <c:ptCount val="3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5C3-4E16-B2D7-A90BBBB6CE59}"/>
            </c:ext>
          </c:extLst>
        </c:ser>
        <c:ser>
          <c:idx val="15"/>
          <c:order val="13"/>
          <c:tx>
            <c:strRef>
              <c:f>SPC!$AE$14</c:f>
              <c:strCache>
                <c:ptCount val="1"/>
                <c:pt idx="0">
                  <c:v>LCL4</c:v>
                </c:pt>
              </c:strCache>
            </c:strRef>
          </c:tx>
          <c:spPr>
            <a:ln w="1460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SPC!$A$15:$A$47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SPC!$AE$15:$AE$47</c:f>
              <c:numCache>
                <c:formatCode>General</c:formatCode>
                <c:ptCount val="3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5C3-4E16-B2D7-A90BBBB6CE59}"/>
            </c:ext>
          </c:extLst>
        </c:ser>
        <c:ser>
          <c:idx val="16"/>
          <c:order val="14"/>
          <c:tx>
            <c:strRef>
              <c:f>SPC!$AP$14</c:f>
              <c:strCache>
                <c:ptCount val="1"/>
                <c:pt idx="0">
                  <c:v>Verdi1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cat>
            <c:numRef>
              <c:f>SPC!$A$15:$A$47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SPC!$AP$15:$AP$47</c:f>
              <c:numCache>
                <c:formatCode>General</c:formatCode>
                <c:ptCount val="33"/>
                <c:pt idx="0">
                  <c:v>52</c:v>
                </c:pt>
                <c:pt idx="1">
                  <c:v>48</c:v>
                </c:pt>
                <c:pt idx="2">
                  <c:v>54</c:v>
                </c:pt>
                <c:pt idx="3">
                  <c:v>47</c:v>
                </c:pt>
                <c:pt idx="4">
                  <c:v>45</c:v>
                </c:pt>
                <c:pt idx="5">
                  <c:v>49</c:v>
                </c:pt>
                <c:pt idx="6">
                  <c:v>53</c:v>
                </c:pt>
                <c:pt idx="7">
                  <c:v>44</c:v>
                </c:pt>
                <c:pt idx="8">
                  <c:v>100</c:v>
                </c:pt>
                <c:pt idx="9">
                  <c:v>51</c:v>
                </c:pt>
                <c:pt idx="10">
                  <c:v>#N/A</c:v>
                </c:pt>
                <c:pt idx="11">
                  <c:v>58</c:v>
                </c:pt>
                <c:pt idx="12">
                  <c:v>54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5C3-4E16-B2D7-A90BBBB6CE59}"/>
            </c:ext>
          </c:extLst>
        </c:ser>
        <c:ser>
          <c:idx val="17"/>
          <c:order val="15"/>
          <c:tx>
            <c:strRef>
              <c:f>SPC!$AQ$14</c:f>
              <c:strCache>
                <c:ptCount val="1"/>
                <c:pt idx="0">
                  <c:v>Verdi2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cat>
            <c:numRef>
              <c:f>SPC!$A$15:$A$47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SPC!$AQ$15:$AQ$47</c:f>
              <c:numCache>
                <c:formatCode>General</c:formatCode>
                <c:ptCount val="3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42</c:v>
                </c:pt>
                <c:pt idx="14">
                  <c:v>38</c:v>
                </c:pt>
                <c:pt idx="15">
                  <c:v>36</c:v>
                </c:pt>
                <c:pt idx="16">
                  <c:v>44</c:v>
                </c:pt>
                <c:pt idx="17">
                  <c:v>37</c:v>
                </c:pt>
                <c:pt idx="18">
                  <c:v>39</c:v>
                </c:pt>
                <c:pt idx="19">
                  <c:v>53</c:v>
                </c:pt>
                <c:pt idx="20">
                  <c:v>44</c:v>
                </c:pt>
                <c:pt idx="21">
                  <c:v>100</c:v>
                </c:pt>
                <c:pt idx="22">
                  <c:v>51</c:v>
                </c:pt>
                <c:pt idx="23">
                  <c:v>4</c:v>
                </c:pt>
                <c:pt idx="24">
                  <c:v>58</c:v>
                </c:pt>
                <c:pt idx="25">
                  <c:v>54</c:v>
                </c:pt>
                <c:pt idx="26">
                  <c:v>42</c:v>
                </c:pt>
                <c:pt idx="27">
                  <c:v>38</c:v>
                </c:pt>
                <c:pt idx="28">
                  <c:v>36</c:v>
                </c:pt>
                <c:pt idx="29">
                  <c:v>44</c:v>
                </c:pt>
                <c:pt idx="30">
                  <c:v>37</c:v>
                </c:pt>
                <c:pt idx="31">
                  <c:v>39</c:v>
                </c:pt>
                <c:pt idx="32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5C3-4E16-B2D7-A90BBBB6CE59}"/>
            </c:ext>
          </c:extLst>
        </c:ser>
        <c:ser>
          <c:idx val="18"/>
          <c:order val="16"/>
          <c:tx>
            <c:strRef>
              <c:f>SPC!$AR$14</c:f>
              <c:strCache>
                <c:ptCount val="1"/>
                <c:pt idx="0">
                  <c:v>Verdi3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cat>
            <c:numRef>
              <c:f>SPC!$A$15:$A$47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SPC!$AR$15:$AR$47</c:f>
              <c:numCache>
                <c:formatCode>General</c:formatCode>
                <c:ptCount val="3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5C3-4E16-B2D7-A90BBBB6CE59}"/>
            </c:ext>
          </c:extLst>
        </c:ser>
        <c:ser>
          <c:idx val="19"/>
          <c:order val="17"/>
          <c:tx>
            <c:strRef>
              <c:f>SPC!$AS$14</c:f>
              <c:strCache>
                <c:ptCount val="1"/>
                <c:pt idx="0">
                  <c:v>Verdi4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cat>
            <c:numRef>
              <c:f>SPC!$A$15:$A$47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SPC!$AS$15:$AS$47</c:f>
              <c:numCache>
                <c:formatCode>General</c:formatCode>
                <c:ptCount val="3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5C3-4E16-B2D7-A90BBBB6CE59}"/>
            </c:ext>
          </c:extLst>
        </c:ser>
        <c:ser>
          <c:idx val="0"/>
          <c:order val="18"/>
          <c:tx>
            <c:strRef>
              <c:f>SPC!$R$14</c:f>
              <c:strCache>
                <c:ptCount val="1"/>
                <c:pt idx="0">
                  <c:v>Snitt5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SPC!$A$15:$A$47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SPC!$R$15:$R$47</c:f>
              <c:numCache>
                <c:formatCode>General</c:formatCode>
                <c:ptCount val="3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E459-4A96-AF2F-6EC60DB479F0}"/>
            </c:ext>
          </c:extLst>
        </c:ser>
        <c:ser>
          <c:idx val="1"/>
          <c:order val="19"/>
          <c:tx>
            <c:strRef>
              <c:f>SPC!$S$14</c:f>
              <c:strCache>
                <c:ptCount val="1"/>
                <c:pt idx="0">
                  <c:v>Snitt6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SPC!$A$15:$A$47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SPC!$S$15:$S$47</c:f>
              <c:numCache>
                <c:formatCode>General</c:formatCode>
                <c:ptCount val="3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59-4A96-AF2F-6EC60DB479F0}"/>
            </c:ext>
          </c:extLst>
        </c:ser>
        <c:ser>
          <c:idx val="4"/>
          <c:order val="20"/>
          <c:tx>
            <c:strRef>
              <c:f>SPC!$T$14</c:f>
              <c:strCache>
                <c:ptCount val="1"/>
                <c:pt idx="0">
                  <c:v>Snitt7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SPC!$A$15:$A$47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SPC!$T$15:$T$47</c:f>
              <c:numCache>
                <c:formatCode>General</c:formatCode>
                <c:ptCount val="3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59-4A96-AF2F-6EC60DB479F0}"/>
            </c:ext>
          </c:extLst>
        </c:ser>
        <c:ser>
          <c:idx val="20"/>
          <c:order val="21"/>
          <c:tx>
            <c:strRef>
              <c:f>SPC!$Y$14</c:f>
              <c:strCache>
                <c:ptCount val="1"/>
                <c:pt idx="0">
                  <c:v>UCL5</c:v>
                </c:pt>
              </c:strCache>
              <c:extLst xmlns:c15="http://schemas.microsoft.com/office/drawing/2012/chart"/>
            </c:strRef>
          </c:tx>
          <c:spPr>
            <a:ln w="1460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SPC!$A$15:$A$47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SPC!$Y$15:$Y$47</c:f>
              <c:numCache>
                <c:formatCode>General</c:formatCode>
                <c:ptCount val="3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E459-4A96-AF2F-6EC60DB479F0}"/>
            </c:ext>
          </c:extLst>
        </c:ser>
        <c:ser>
          <c:idx val="21"/>
          <c:order val="22"/>
          <c:tx>
            <c:strRef>
              <c:f>SPC!$Z$14</c:f>
              <c:strCache>
                <c:ptCount val="1"/>
                <c:pt idx="0">
                  <c:v>UCL6</c:v>
                </c:pt>
              </c:strCache>
            </c:strRef>
          </c:tx>
          <c:spPr>
            <a:ln w="1460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SPC!$A$15:$A$47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SPC!$Z$15:$Z$47</c:f>
              <c:numCache>
                <c:formatCode>General</c:formatCode>
                <c:ptCount val="3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459-4A96-AF2F-6EC60DB479F0}"/>
            </c:ext>
          </c:extLst>
        </c:ser>
        <c:ser>
          <c:idx val="22"/>
          <c:order val="23"/>
          <c:tx>
            <c:strRef>
              <c:f>SPC!$AA$14</c:f>
              <c:strCache>
                <c:ptCount val="1"/>
                <c:pt idx="0">
                  <c:v>UCL7</c:v>
                </c:pt>
              </c:strCache>
            </c:strRef>
          </c:tx>
          <c:spPr>
            <a:ln w="1460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SPC!$A$15:$A$47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SPC!$AA$15:$AA$47</c:f>
              <c:numCache>
                <c:formatCode>General</c:formatCode>
                <c:ptCount val="3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459-4A96-AF2F-6EC60DB479F0}"/>
            </c:ext>
          </c:extLst>
        </c:ser>
        <c:ser>
          <c:idx val="23"/>
          <c:order val="24"/>
          <c:tx>
            <c:strRef>
              <c:f>SPC!$AF$14</c:f>
              <c:strCache>
                <c:ptCount val="1"/>
                <c:pt idx="0">
                  <c:v>LCL5</c:v>
                </c:pt>
              </c:strCache>
              <c:extLst xmlns:c15="http://schemas.microsoft.com/office/drawing/2012/chart"/>
            </c:strRef>
          </c:tx>
          <c:spPr>
            <a:ln w="1460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SPC!$A$15:$A$47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SPC!$AF$15:$AF$47</c:f>
              <c:numCache>
                <c:formatCode>General</c:formatCode>
                <c:ptCount val="3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6-E459-4A96-AF2F-6EC60DB479F0}"/>
            </c:ext>
          </c:extLst>
        </c:ser>
        <c:ser>
          <c:idx val="24"/>
          <c:order val="25"/>
          <c:tx>
            <c:strRef>
              <c:f>SPC!$AG$14</c:f>
              <c:strCache>
                <c:ptCount val="1"/>
                <c:pt idx="0">
                  <c:v>LCL6</c:v>
                </c:pt>
              </c:strCache>
            </c:strRef>
          </c:tx>
          <c:spPr>
            <a:ln w="1460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SPC!$A$15:$A$47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SPC!$AG$15:$AG$47</c:f>
              <c:numCache>
                <c:formatCode>General</c:formatCode>
                <c:ptCount val="3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459-4A96-AF2F-6EC60DB479F0}"/>
            </c:ext>
          </c:extLst>
        </c:ser>
        <c:ser>
          <c:idx val="25"/>
          <c:order val="26"/>
          <c:tx>
            <c:strRef>
              <c:f>SPC!$AH$14</c:f>
              <c:strCache>
                <c:ptCount val="1"/>
                <c:pt idx="0">
                  <c:v>LCL7</c:v>
                </c:pt>
              </c:strCache>
            </c:strRef>
          </c:tx>
          <c:spPr>
            <a:ln w="1460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SPC!$A$15:$A$47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SPC!$AH$15:$AH$47</c:f>
              <c:numCache>
                <c:formatCode>General</c:formatCode>
                <c:ptCount val="3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459-4A96-AF2F-6EC60DB479F0}"/>
            </c:ext>
          </c:extLst>
        </c:ser>
        <c:ser>
          <c:idx val="26"/>
          <c:order val="27"/>
          <c:tx>
            <c:strRef>
              <c:f>SPC!$AT$14</c:f>
              <c:strCache>
                <c:ptCount val="1"/>
                <c:pt idx="0">
                  <c:v>Verdi5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cat>
            <c:numRef>
              <c:f>SPC!$A$15:$A$47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SPC!$AT$15:$AT$47</c:f>
              <c:numCache>
                <c:formatCode>General</c:formatCode>
                <c:ptCount val="3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459-4A96-AF2F-6EC60DB479F0}"/>
            </c:ext>
          </c:extLst>
        </c:ser>
        <c:ser>
          <c:idx val="27"/>
          <c:order val="28"/>
          <c:tx>
            <c:strRef>
              <c:f>SPC!$AU$14</c:f>
              <c:strCache>
                <c:ptCount val="1"/>
                <c:pt idx="0">
                  <c:v>Verdi6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cat>
            <c:numRef>
              <c:f>SPC!$A$15:$A$47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SPC!$AU$15:$AU$47</c:f>
              <c:numCache>
                <c:formatCode>General</c:formatCode>
                <c:ptCount val="3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459-4A96-AF2F-6EC60DB479F0}"/>
            </c:ext>
          </c:extLst>
        </c:ser>
        <c:ser>
          <c:idx val="28"/>
          <c:order val="29"/>
          <c:tx>
            <c:strRef>
              <c:f>SPC!$AV$14</c:f>
              <c:strCache>
                <c:ptCount val="1"/>
                <c:pt idx="0">
                  <c:v>Verdi7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cat>
            <c:numRef>
              <c:f>SPC!$A$15:$A$47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SPC!$AV$15:$AV$47</c:f>
              <c:numCache>
                <c:formatCode>General</c:formatCode>
                <c:ptCount val="3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459-4A96-AF2F-6EC60DB479F0}"/>
            </c:ext>
          </c:extLst>
        </c:ser>
        <c:ser>
          <c:idx val="29"/>
          <c:order val="30"/>
          <c:tx>
            <c:strRef>
              <c:f>SPC!$BG$14</c:f>
              <c:strCache>
                <c:ptCount val="1"/>
                <c:pt idx="0">
                  <c:v>Test 3: trend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12"/>
            <c:spPr>
              <a:noFill/>
              <a:ln w="6350">
                <a:solidFill>
                  <a:sysClr val="windowText" lastClr="000000">
                    <a:lumMod val="50000"/>
                    <a:lumOff val="50000"/>
                  </a:sysClr>
                </a:solidFill>
              </a:ln>
              <a:effectLst/>
            </c:spPr>
          </c:marker>
          <c:cat>
            <c:numRef>
              <c:f>SPC!$A$15:$A$47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SPC!$BG$15:$BG$47</c:f>
              <c:numCache>
                <c:formatCode>General</c:formatCode>
                <c:ptCount val="3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05-4918-B69B-8999A4333C5F}"/>
            </c:ext>
          </c:extLst>
        </c:ser>
        <c:ser>
          <c:idx val="30"/>
          <c:order val="31"/>
          <c:tx>
            <c:strRef>
              <c:f>SPC!$BL$14</c:f>
              <c:strCache>
                <c:ptCount val="1"/>
                <c:pt idx="0">
                  <c:v>Test 2: skifte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10"/>
            <c:spPr>
              <a:noFill/>
              <a:ln w="9525">
                <a:solidFill>
                  <a:sysClr val="windowText" lastClr="000000">
                    <a:lumMod val="50000"/>
                    <a:lumOff val="50000"/>
                  </a:sysClr>
                </a:solidFill>
              </a:ln>
              <a:effectLst/>
            </c:spPr>
          </c:marker>
          <c:cat>
            <c:numRef>
              <c:f>SPC!$A$15:$A$47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SPC!$BL$15:$BL$47</c:f>
              <c:numCache>
                <c:formatCode>General</c:formatCode>
                <c:ptCount val="33"/>
                <c:pt idx="0">
                  <c:v>52</c:v>
                </c:pt>
                <c:pt idx="1">
                  <c:v>48</c:v>
                </c:pt>
                <c:pt idx="2">
                  <c:v>54</c:v>
                </c:pt>
                <c:pt idx="3">
                  <c:v>47</c:v>
                </c:pt>
                <c:pt idx="4">
                  <c:v>45</c:v>
                </c:pt>
                <c:pt idx="5">
                  <c:v>49</c:v>
                </c:pt>
                <c:pt idx="6">
                  <c:v>53</c:v>
                </c:pt>
                <c:pt idx="7">
                  <c:v>44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BE-4193-9EE2-E4078D8BAC22}"/>
            </c:ext>
          </c:extLst>
        </c:ser>
        <c:ser>
          <c:idx val="31"/>
          <c:order val="32"/>
          <c:tx>
            <c:strRef>
              <c:f>SPC!$BM$14</c:f>
              <c:strCache>
                <c:ptCount val="1"/>
                <c:pt idx="0">
                  <c:v>Test1: punkt utenfor kontrollgrense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10"/>
            <c:spPr>
              <a:noFill/>
              <a:ln w="6350">
                <a:solidFill>
                  <a:sysClr val="windowText" lastClr="000000">
                    <a:lumMod val="50000"/>
                    <a:lumOff val="50000"/>
                  </a:sysClr>
                </a:solidFill>
              </a:ln>
              <a:effectLst/>
            </c:spPr>
          </c:marker>
          <c:cat>
            <c:numRef>
              <c:f>SPC!$A$15:$A$47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SPC!$BM$15:$BM$47</c:f>
              <c:numCache>
                <c:formatCode>General</c:formatCode>
                <c:ptCount val="3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100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100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BE-4193-9EE2-E4078D8BA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3124792"/>
        <c:axId val="573134592"/>
        <c:extLst/>
      </c:lineChart>
      <c:catAx>
        <c:axId val="573124792"/>
        <c:scaling>
          <c:orientation val="minMax"/>
        </c:scaling>
        <c:delete val="0"/>
        <c:axPos val="b"/>
        <c:title>
          <c:tx>
            <c:strRef>
              <c:f>SPC!$CM$13</c:f>
              <c:strCache>
                <c:ptCount val="1"/>
                <c:pt idx="0">
                  <c:v> I-diagram | Gjennomsnitt 1: 54,58, UCL 91,34, LCL 17,83    |    Gjennomsnitt 2: 42,7, UCL 86,38, LCL -0,98</c:v>
                </c:pt>
              </c:strCache>
            </c:strRef>
          </c:tx>
          <c:layout>
            <c:manualLayout>
              <c:xMode val="edge"/>
              <c:yMode val="edge"/>
              <c:x val="8.4917382287016244E-2"/>
              <c:y val="0.910412236302128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3134592"/>
        <c:crosses val="autoZero"/>
        <c:auto val="0"/>
        <c:lblAlgn val="ctr"/>
        <c:lblOffset val="100"/>
        <c:noMultiLvlLbl val="0"/>
      </c:catAx>
      <c:valAx>
        <c:axId val="57313459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strRef>
              <c:f>SPC!$G$8</c:f>
              <c:strCache>
                <c:ptCount val="1"/>
              </c:strCache>
            </c:strRef>
          </c:tx>
          <c:layout>
            <c:manualLayout>
              <c:xMode val="edge"/>
              <c:yMode val="edge"/>
              <c:x val="1.447084565799879E-2"/>
              <c:y val="0.374033562176735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3124792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_xlchart.v1.2</cx:f>
      </cx:numDim>
    </cx:data>
  </cx:chartData>
  <cx:chart>
    <cx:title pos="t" align="ctr" overlay="0">
      <cx:tx>
        <cx:txData>
          <cx:v>Diagramtittel</cx:v>
        </cx:txData>
      </cx:tx>
      <cx:txPr>
        <a:bodyPr vertOverflow="overflow" horzOverflow="overflow" wrap="square" lIns="0" tIns="0" rIns="0" bIns="0"/>
        <a:lstStyle/>
        <a:p>
          <a:pPr algn="ctr" rtl="0">
            <a:defRPr sz="1400" b="0" i="0">
              <a:solidFill>
                <a:srgbClr val="7F7F7F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r>
            <a:t>Diagramtittel</a:t>
          </a:r>
        </a:p>
      </cx:txPr>
    </cx:title>
    <cx:plotArea>
      <cx:plotAreaRegion>
        <cx:series layoutId="clusteredColumn" uniqueId="{60E2DC77-9D69-4812-8088-8E2567F69AE8}">
          <cx:tx>
            <cx:txData>
              <cx:f>_xlchart.v1.1</cx:f>
              <cx:v>Sum</cx:v>
            </cx:txData>
          </cx:tx>
          <cx:dataId val="0"/>
          <cx:layoutPr>
            <cx:aggregation/>
          </cx:layoutPr>
          <cx:axisId val="1"/>
        </cx:series>
        <cx:series layoutId="paretoLine" ownerIdx="0" uniqueId="{3D7AD6C1-10C8-4344-B402-F3B9C842B1D4}">
          <cx:axisId val="2"/>
        </cx:series>
      </cx:plotAreaRegion>
      <cx:axis id="0">
        <cx:catScaling gapWidth="0.779999971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2">
        <cx:valScaling max="1" min="0"/>
        <cx:units unit="percentage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</cx:f>
      </cx:strDim>
      <cx:numDim type="val">
        <cx:f>_xlchart.v1.5</cx:f>
      </cx:numDim>
    </cx:data>
  </cx:chartData>
  <cx:chart>
    <cx:title pos="t" align="ctr" overlay="0">
      <cx:tx>
        <cx:txData>
          <cx:v>Diagramtittel</cx:v>
        </cx:txData>
      </cx:tx>
      <cx:txPr>
        <a:bodyPr vertOverflow="overflow" horzOverflow="overflow" wrap="square" lIns="0" tIns="0" rIns="0" bIns="0"/>
        <a:lstStyle/>
        <a:p>
          <a:pPr algn="ctr" rtl="0">
            <a:defRPr sz="1400" b="0" i="0">
              <a:solidFill>
                <a:srgbClr val="7F7F7F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r>
            <a:t>Diagramtittel</a:t>
          </a:r>
        </a:p>
      </cx:txPr>
    </cx:title>
    <cx:plotArea>
      <cx:plotAreaRegion>
        <cx:series layoutId="clusteredColumn" uniqueId="{60E2DC77-9D69-4812-8088-8E2567F69AE8}">
          <cx:tx>
            <cx:txData>
              <cx:f>_xlchart.v1.4</cx:f>
              <cx:v>Sum</cx:v>
            </cx:txData>
          </cx:tx>
          <cx:dataId val="0"/>
          <cx:layoutPr>
            <cx:aggregation/>
          </cx:layoutPr>
          <cx:axisId val="1"/>
        </cx:series>
        <cx:series layoutId="paretoLine" ownerIdx="0" uniqueId="{3D7AD6C1-10C8-4344-B402-F3B9C842B1D4}">
          <cx:axisId val="2"/>
        </cx:series>
      </cx:plotAreaRegion>
      <cx:axis id="0">
        <cx:catScaling gapWidth="0.779999971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2">
        <cx:valScaling max="1" min="0"/>
        <cx:units unit="percentage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4.xml.rels><?xml version="1.0" encoding="UTF-8" standalone="yes"?>
<Relationships xmlns="http://schemas.openxmlformats.org/package/2006/relationships"><Relationship Id="rId1" Type="http://schemas.microsoft.com/office/2014/relationships/chartEx" Target="../charts/chartEx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72</xdr:col>
      <xdr:colOff>6784</xdr:colOff>
      <xdr:row>14</xdr:row>
      <xdr:rowOff>27099</xdr:rowOff>
    </xdr:from>
    <xdr:to>
      <xdr:col>83</xdr:col>
      <xdr:colOff>1559350</xdr:colOff>
      <xdr:row>31</xdr:row>
      <xdr:rowOff>14431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84</xdr:col>
      <xdr:colOff>122101</xdr:colOff>
      <xdr:row>6</xdr:row>
      <xdr:rowOff>108270</xdr:rowOff>
    </xdr:from>
    <xdr:to>
      <xdr:col>86</xdr:col>
      <xdr:colOff>2760074</xdr:colOff>
      <xdr:row>50</xdr:row>
      <xdr:rowOff>156882</xdr:rowOff>
    </xdr:to>
    <xdr:sp macro="" textlink="">
      <xdr:nvSpPr>
        <xdr:cNvPr id="2" name="Rektange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356248" y="1632270"/>
          <a:ext cx="5192914" cy="818408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nb-NO" sz="1100" b="1"/>
            <a:t>Hvor mye data trenger jeg?</a:t>
          </a:r>
        </a:p>
        <a:p>
          <a:pPr algn="l"/>
          <a:r>
            <a:rPr lang="nb-NO" sz="1100"/>
            <a:t>* Du bør ha minimum 20 datapunkter. 20-40 er anbefalt antall.</a:t>
          </a:r>
        </a:p>
        <a:p>
          <a:pPr algn="l"/>
          <a:endParaRPr lang="nb-NO" sz="1100"/>
        </a:p>
        <a:p>
          <a:pPr algn="l"/>
          <a:r>
            <a:rPr lang="nb-NO" sz="1100" b="1"/>
            <a:t>Hvordan</a:t>
          </a:r>
          <a:r>
            <a:rPr lang="nb-NO" sz="1100" b="1" baseline="0"/>
            <a:t> ser vi om vi har en endring, som ikke bare er tilfeldig (normal) variasjon?</a:t>
          </a:r>
        </a:p>
        <a:p>
          <a:pPr algn="l"/>
          <a:r>
            <a:rPr lang="nb-NO" sz="1100" baseline="0"/>
            <a:t>De tre grunnleggende signalene vi kan se etter:</a:t>
          </a:r>
        </a:p>
        <a:p>
          <a:pPr algn="l"/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 2" panose="05020102010507070707" pitchFamily="18" charset="2"/>
            </a:rPr>
            <a:t></a:t>
          </a:r>
          <a:r>
            <a:rPr lang="nb-NO" sz="1100" baseline="0">
              <a:sym typeface="Wingdings" panose="05000000000000000000" pitchFamily="2" charset="2"/>
            </a:rPr>
            <a:t> </a:t>
          </a:r>
          <a:r>
            <a:rPr lang="nb-NO" sz="1100" baseline="0"/>
            <a:t>Test 1 - Spesiell årsak.</a:t>
          </a:r>
        </a:p>
        <a:p>
          <a:pPr algn="l"/>
          <a:r>
            <a:rPr lang="nb-NO" sz="1100" baseline="0"/>
            <a:t>Punkter på utsiden av øvre (UCL) eller nedre (LCL) kontrollgrense.</a:t>
          </a:r>
        </a:p>
        <a:p>
          <a:pPr algn="l"/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 2" panose="05020102010507070707" pitchFamily="18" charset="2"/>
            </a:rPr>
            <a:t>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 </a:t>
          </a:r>
          <a:r>
            <a:rPr lang="nb-NO" sz="1100" baseline="0"/>
            <a:t>Test 2 - Skifte </a:t>
          </a:r>
        </a:p>
        <a:p>
          <a:pPr algn="l"/>
          <a:r>
            <a:rPr lang="nb-NO" sz="1100" baseline="0"/>
            <a:t>Åtte punkter etter hverandre som alle er på samme side av gjennomsnittslinjen</a:t>
          </a:r>
        </a:p>
        <a:p>
          <a:pPr algn="l"/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 2" panose="05020102010507070707" pitchFamily="18" charset="2"/>
            </a:rPr>
            <a:t>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nb-NO" sz="1100" baseline="0"/>
            <a:t>Test 3 - Trend</a:t>
          </a:r>
        </a:p>
        <a:p>
          <a:pPr algn="l"/>
          <a:r>
            <a:rPr lang="nb-NO" sz="1100" baseline="0"/>
            <a:t>Seks eller flere punkter i en rekke som enten øker eller synker</a:t>
          </a:r>
        </a:p>
        <a:p>
          <a:pPr algn="l"/>
          <a:endParaRPr lang="nb-NO" sz="1100" baseline="0"/>
        </a:p>
        <a:p>
          <a:pPr algn="l"/>
          <a:r>
            <a:rPr lang="nb-NO" sz="1100" b="1" baseline="0"/>
            <a:t>Nyttig å vite</a:t>
          </a:r>
        </a:p>
        <a:p>
          <a:pPr algn="l"/>
          <a:r>
            <a:rPr lang="nb-NO" sz="1100" baseline="0"/>
            <a:t>1. Marker brudd ved å sette inn stjerne * i kolonnen for brudd ved punktet der den nye perioden starter. Skriv forklaring til brudd i "Kommentar1". Denne vil vises i diagrammet.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/>
            <a:t>2. Marker verdier som skal ekskluderes med en x i kolonnen for brudd. Ekskludert verdier inngår ikke i beregning av snitt, median, kontrollgrenser eller tester, men vises med stiplet linje i diagrammet. 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Skriv forklaring til eksklusjonen i "Kommentar1". Denne vil vises i diagrammet.</a:t>
          </a:r>
          <a:endParaRPr lang="nb-NO" sz="1100" baseline="0"/>
        </a:p>
        <a:p>
          <a:pPr algn="l"/>
          <a:r>
            <a:rPr lang="nb-NO" sz="1100" baseline="0"/>
            <a:t>3. Overskrift i diagrammene oppdateres ved å endre overskriften over tabellen, i A1</a:t>
          </a:r>
        </a:p>
        <a:p>
          <a:pPr algn="l"/>
          <a:r>
            <a:rPr lang="nb-NO" sz="1100" baseline="0"/>
            <a:t>4. Mål kan synliggjøres i diagrammet ved å sette inn et tall i E1</a:t>
          </a:r>
        </a:p>
        <a:p>
          <a:pPr algn="l"/>
          <a:r>
            <a:rPr lang="nb-NO" sz="1100" baseline="0"/>
            <a:t>5. Tekst, benevnelser og antall desimaler i beskrivelsen kan tilpasses ved å endre i de oransje cellene øverst på siden</a:t>
          </a:r>
        </a:p>
        <a:p>
          <a:pPr algn="l"/>
          <a:r>
            <a:rPr lang="nb-NO" sz="1100" baseline="0"/>
            <a:t>6. De fire kolonnene for kommentar kan benyttes fritt. </a:t>
          </a:r>
          <a:endParaRPr lang="nb-NO" sz="1100"/>
        </a:p>
        <a:p>
          <a:pPr algn="l"/>
          <a:r>
            <a:rPr lang="nb-NO" sz="1100"/>
            <a:t>7. For å bruke dato (eller annen info i kolonne B) som</a:t>
          </a:r>
          <a:r>
            <a:rPr lang="nb-NO" sz="1100" baseline="0"/>
            <a:t> akseetiketter, klikker du på dataserien i diagrammet og flytter den lilla rammen fra nummereringen i kolonne A til kolonne B.</a:t>
          </a:r>
        </a:p>
        <a:p>
          <a:pPr algn="l"/>
          <a:r>
            <a:rPr lang="nb-NO" sz="1100" baseline="0"/>
            <a:t>8. Utskrift: For å skrive ut bare diagrammet kan du markere det før du går til utskrift.</a:t>
          </a:r>
        </a:p>
        <a:p>
          <a:pPr algn="l"/>
          <a:r>
            <a:rPr lang="nb-NO" sz="1100" baseline="0"/>
            <a:t>9. Y-aksen starter på null som standard. Diagrammet vil derfor ikke vise negative verdier eller en kontrollgrense som ligger under null. Gå til aksealternativer hvis du vil endre skalaen og nullpunktet.</a:t>
          </a:r>
          <a:endParaRPr lang="nb-NO" sz="1100"/>
        </a:p>
        <a:p>
          <a:pPr algn="l"/>
          <a:endParaRPr lang="nb-NO" sz="1100"/>
        </a:p>
        <a:p>
          <a:r>
            <a:rPr lang="nb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Viktig å passe på teknisk</a:t>
          </a:r>
          <a:endParaRPr lang="nb-NO">
            <a:effectLst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Hvert datapunkt må være nummerert (de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nummereres automatisk)</a:t>
          </a:r>
          <a:endParaRPr lang="nb-NO">
            <a:effectLst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Hvert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datapunkt må ha en verdi (det må ikke være hull midt i tabellen). </a:t>
          </a:r>
          <a:endParaRPr lang="nb-NO">
            <a:effectLst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Ikke rør innholdet i celler med lysegrå bakgrunnsfarge, eller i innholdet i skjulte kolonner, da det kan bryte funksjonaliteten.</a:t>
          </a: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Hvis tabellen ikke utvider seg automatisk når du legger inn nye data, kan det skyldes at det ligger synlig eller usynlig innhold i cellene under tabellen. Marker celleområdet nedenfor tabellen og slett (delete), og prøv igjen.</a:t>
          </a:r>
          <a:endParaRPr lang="nb-NO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Har du kommet i skade for å gjøre noe som gjør at ting ikke fungerer, kan du ta vare på dataene dine, hente opp denne malen på nytt og prøve igjen.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Referanse: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Forbedringsarbeid og statistisk prosesskontroll (SPC), versjon 2.0 (2009). Bjørnar Nyen, Nasjonalt kunnskapssenter for helsetjenesten</a:t>
          </a:r>
          <a:endParaRPr lang="nb-NO">
            <a:effectLst/>
          </a:endParaRPr>
        </a:p>
      </xdr:txBody>
    </xdr:sp>
    <xdr:clientData fPrintsWithSheet="0"/>
  </xdr:twoCellAnchor>
  <xdr:twoCellAnchor editAs="absolute">
    <xdr:from>
      <xdr:col>0</xdr:col>
      <xdr:colOff>87086</xdr:colOff>
      <xdr:row>0</xdr:row>
      <xdr:rowOff>65315</xdr:rowOff>
    </xdr:from>
    <xdr:to>
      <xdr:col>4</xdr:col>
      <xdr:colOff>204108</xdr:colOff>
      <xdr:row>0</xdr:row>
      <xdr:rowOff>334806</xdr:rowOff>
    </xdr:to>
    <xdr:pic>
      <xdr:nvPicPr>
        <xdr:cNvPr id="6" name="Grafikk 1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7086" y="65315"/>
          <a:ext cx="2797629" cy="269491"/>
        </a:xfrm>
        <a:prstGeom prst="rect">
          <a:avLst/>
        </a:prstGeom>
      </xdr:spPr>
    </xdr:pic>
    <xdr:clientData/>
  </xdr:twoCellAnchor>
  <xdr:twoCellAnchor editAs="absolute">
    <xdr:from>
      <xdr:col>72</xdr:col>
      <xdr:colOff>32481</xdr:colOff>
      <xdr:row>0</xdr:row>
      <xdr:rowOff>133350</xdr:rowOff>
    </xdr:from>
    <xdr:to>
      <xdr:col>77</xdr:col>
      <xdr:colOff>331723</xdr:colOff>
      <xdr:row>0</xdr:row>
      <xdr:rowOff>402841</xdr:rowOff>
    </xdr:to>
    <xdr:pic>
      <xdr:nvPicPr>
        <xdr:cNvPr id="8" name="Grafikk 1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461981" y="133350"/>
          <a:ext cx="2762135" cy="269491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0.04576</cdr:x>
      <cdr:y>0.9873</cdr:y>
    </cdr:from>
    <cdr:to>
      <cdr:x>0.99341</cdr:x>
      <cdr:y>1</cdr:y>
    </cdr:to>
    <cdr:sp macro="" textlink="SPC!$CM$12">
      <cdr:nvSpPr>
        <cdr:cNvPr id="2" name="Rektangel 1"/>
        <cdr:cNvSpPr/>
      </cdr:nvSpPr>
      <cdr:spPr>
        <a:xfrm xmlns:a="http://schemas.openxmlformats.org/drawingml/2006/main">
          <a:off x="410149" y="4468057"/>
          <a:ext cx="8493840" cy="574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fld id="{9F363D1B-1C0D-4ABB-8D06-727E11923E64}" type="TxLink">
            <a:rPr lang="en-US" sz="800" b="0" i="0" u="none" strike="noStrike">
              <a:solidFill>
                <a:schemeClr val="bg1"/>
              </a:solidFill>
              <a:latin typeface="Calibri"/>
            </a:rPr>
            <a:pPr algn="ctr"/>
            <a:t>I-diagram | Gjennomsnitt 1: 54,58, UCL 91,34, LCL 17,83    |    Gjennomsnitt 2: 42,7, UCL 86,38, LCL -0,98</a:t>
          </a:fld>
          <a:endParaRPr lang="nb-NO" sz="800">
            <a:solidFill>
              <a:schemeClr val="bg1"/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685800</xdr:colOff>
      <xdr:row>1</xdr:row>
      <xdr:rowOff>19050</xdr:rowOff>
    </xdr:from>
    <xdr:to>
      <xdr:col>8</xdr:col>
      <xdr:colOff>502920</xdr:colOff>
      <xdr:row>16</xdr:row>
      <xdr:rowOff>19050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Diagram 1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286000" y="203200"/>
              <a:ext cx="4617720" cy="2762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nb-NO" sz="1100"/>
                <a:t>Diagrammet er ikke tilgjengelig i din versjon av Excel.
Hvis du redigerer denne figuren eller lagrer denne arbeidsboken i et annet filformat, blir diagrammet ødelagt for godt.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685800</xdr:colOff>
      <xdr:row>1</xdr:row>
      <xdr:rowOff>19050</xdr:rowOff>
    </xdr:from>
    <xdr:to>
      <xdr:col>8</xdr:col>
      <xdr:colOff>502920</xdr:colOff>
      <xdr:row>16</xdr:row>
      <xdr:rowOff>19050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Diagram 1">
              <a:extLst>
                <a:ext uri="{FF2B5EF4-FFF2-40B4-BE49-F238E27FC236}">
                  <a16:creationId xmlns:a16="http://schemas.microsoft.com/office/drawing/2014/main" id="{00000000-0008-0000-04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286000" y="203200"/>
              <a:ext cx="4617720" cy="2762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nb-NO" sz="1100"/>
                <a:t>Diagrammet er ikke tilgjengelig i din versjon av Excel.
Hvis du redigerer denne figuren eller lagrer denne arbeidsboken i et annet filformat, blir diagrammet ødelagt for godt.</a:t>
              </a:r>
            </a:p>
          </xdr:txBody>
        </xdr:sp>
      </mc:Fallback>
    </mc:AlternateContent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ell1345" displayName="Tabell1345" ref="A14:BS47" totalsRowShown="0">
  <autoFilter ref="A14:BS47" xr:uid="{00000000-0009-0000-0100-000004000000}"/>
  <tableColumns count="71">
    <tableColumn id="1" xr3:uid="{00000000-0010-0000-0000-000001000000}" name="Nr" dataDxfId="80">
      <calculatedColumnFormula>IF(ISNUMBER(OFFSET(Tabell1345[[#This Row],[Nr]],-1,0)),OFFSET(Tabell1345[[#This Row],[Nr]],-1,0))+1</calculatedColumnFormula>
    </tableColumn>
    <tableColumn id="2" xr3:uid="{00000000-0010-0000-0000-000002000000}" name="Dato"/>
    <tableColumn id="3" xr3:uid="{00000000-0010-0000-0000-000003000000}" name="Verdi" dataCellStyle="God"/>
    <tableColumn id="4" xr3:uid="{00000000-0010-0000-0000-000004000000}" name="Brudd"/>
    <tableColumn id="35" xr3:uid="{00000000-0010-0000-0000-000023000000}" name="Kommentar1"/>
    <tableColumn id="36" xr3:uid="{00000000-0010-0000-0000-000024000000}" name="Kommentar2"/>
    <tableColumn id="5" xr3:uid="{00000000-0010-0000-0000-000005000000}" name="Kommentar3" dataDxfId="79"/>
    <tableColumn id="30" xr3:uid="{00000000-0010-0000-0000-00001E000000}" name="Mål" dataDxfId="78">
      <calculatedColumnFormula>IF($B$6&lt;&gt;"",$B$6,NA())</calculatedColumnFormula>
    </tableColumn>
    <tableColumn id="6" xr3:uid="{00000000-0010-0000-0000-000006000000}" name="BruddKode " dataDxfId="77">
      <calculatedColumnFormula>IF(OR(Tabell1345[[#This Row],[Brudd]]="*",ROW()-ROW(Tabell1345[#All])+1=ROWS(Tabell1345[#All])),ROW())</calculatedColumnFormula>
    </tableColumn>
    <tableColumn id="9" xr3:uid="{00000000-0010-0000-0000-000009000000}" name="Snitt" dataDxfId="76">
      <calculatedColumnFormula>VLOOKUP(Tabell1345[[#This Row],[Nr]],$BV$2:$CB$11,4,TRUE)</calculatedColumnFormula>
    </tableColumn>
    <tableColumn id="10" xr3:uid="{00000000-0010-0000-0000-00000A000000}" name="LCL" dataDxfId="75">
      <calculatedColumnFormula>VLOOKUP(Tabell1345[[#This Row],[Nr]],$BV$2:$CB$11,7,TRUE)</calculatedColumnFormula>
    </tableColumn>
    <tableColumn id="11" xr3:uid="{00000000-0010-0000-0000-00000B000000}" name="UCL" dataDxfId="74">
      <calculatedColumnFormula>VLOOKUP(Tabell1345[[#This Row],[Nr]],$BV$2:$CB$11,6,TRUE)</calculatedColumnFormula>
    </tableColumn>
    <tableColumn id="12" xr3:uid="{00000000-0010-0000-0000-00000C000000}" name="mR" dataDxfId="73">
      <calculatedColumnFormula>IF(OR(Tabell1345[[#This Row],[Brudd]]="*",ISERROR(Tabell1345[[#This Row],[Verdi_korrigert_IT]])),"",IF(ISNUMBER(OFFSET(Tabell1345[[#This Row],[ForrigeGyldige]],-1,0)),ABS(Tabell1345[[#This Row],[Verdi_korrigert_IT]]-OFFSET(Tabell1345[[#This Row],[ForrigeGyldige]],-1,0)),""))</calculatedColumnFormula>
    </tableColumn>
    <tableColumn id="15" xr3:uid="{00000000-0010-0000-0000-00000F000000}" name="Snitt1" dataDxfId="72">
      <calculatedColumnFormula>IF(VLOOKUP(Tabell1345[[#This Row],[Nr]],$BV$3:$CB$11,2,TRUE)=1,VLOOKUP(Tabell1345[[#This Row],[Nr]],$BV$3:$CB$11,4,TRUE),NA())</calculatedColumnFormula>
    </tableColumn>
    <tableColumn id="13" xr3:uid="{00000000-0010-0000-0000-00000D000000}" name="Snitt2" dataDxfId="71">
      <calculatedColumnFormula>IF(VLOOKUP(Tabell1345[[#This Row],[Nr]],$BV$3:$CB$11,2,TRUE)=2,VLOOKUP(Tabell1345[[#This Row],[Nr]],$BV$3:$CB$11,4,TRUE),NA())</calculatedColumnFormula>
    </tableColumn>
    <tableColumn id="8" xr3:uid="{00000000-0010-0000-0000-000008000000}" name="Snitt3" dataDxfId="70">
      <calculatedColumnFormula>IF(VLOOKUP(Tabell1345[[#This Row],[Nr]],$BV$3:$CB$11,2,TRUE)=3,VLOOKUP(Tabell1345[[#This Row],[Nr]],$BV$3:$CB$11,4,TRUE),NA())</calculatedColumnFormula>
    </tableColumn>
    <tableColumn id="7" xr3:uid="{00000000-0010-0000-0000-000007000000}" name="Snitt4" dataDxfId="69">
      <calculatedColumnFormula>IF(VLOOKUP(Tabell1345[[#This Row],[Nr]],$BV$3:$CB$11,2,TRUE)=4,VLOOKUP(Tabell1345[[#This Row],[Nr]],$BV$3:$CB$11,4,TRUE),NA())</calculatedColumnFormula>
    </tableColumn>
    <tableColumn id="37" xr3:uid="{00000000-0010-0000-0000-000025000000}" name="Snitt5" dataDxfId="68">
      <calculatedColumnFormula>IF(VLOOKUP(Tabell1345[[#This Row],[Nr]],$BV$3:$CB$11,2,TRUE)=5,VLOOKUP(Tabell1345[[#This Row],[Nr]],$BV$3:$CB$11,4,TRUE),NA())</calculatedColumnFormula>
    </tableColumn>
    <tableColumn id="38" xr3:uid="{00000000-0010-0000-0000-000026000000}" name="Snitt6" dataDxfId="67">
      <calculatedColumnFormula>IF(VLOOKUP(Tabell1345[[#This Row],[Nr]],$BV$3:$CB$11,2,TRUE)=6,VLOOKUP(Tabell1345[[#This Row],[Nr]],$BV$3:$CB$11,4,TRUE),NA())</calculatedColumnFormula>
    </tableColumn>
    <tableColumn id="41" xr3:uid="{00000000-0010-0000-0000-000029000000}" name="Snitt7" dataDxfId="66">
      <calculatedColumnFormula>IF(VLOOKUP(Tabell1345[[#This Row],[Nr]],$BV$3:$CB$11,2,TRUE)=7,VLOOKUP(Tabell1345[[#This Row],[Nr]],$BV$3:$CB$11,4,TRUE),NA())</calculatedColumnFormula>
    </tableColumn>
    <tableColumn id="18" xr3:uid="{00000000-0010-0000-0000-000012000000}" name="UCL1" dataDxfId="65">
      <calculatedColumnFormula>IF(VLOOKUP(Tabell1345[[#This Row],[Nr]],$BV$3:$CB$11,2,TRUE)=1,VLOOKUP(Tabell1345[[#This Row],[Nr]],$BV$3:$CB$11,6,TRUE),NA())</calculatedColumnFormula>
    </tableColumn>
    <tableColumn id="19" xr3:uid="{00000000-0010-0000-0000-000013000000}" name="UCL2" dataDxfId="64">
      <calculatedColumnFormula>IF(VLOOKUP(Tabell1345[[#This Row],[Nr]],$BV$3:$CB$11,2,TRUE)=2,VLOOKUP(Tabell1345[[#This Row],[Nr]],$BV$3:$CB$11,6,TRUE),NA())</calculatedColumnFormula>
    </tableColumn>
    <tableColumn id="20" xr3:uid="{00000000-0010-0000-0000-000014000000}" name="UCL3" dataDxfId="63">
      <calculatedColumnFormula>IF(VLOOKUP(Tabell1345[[#This Row],[Nr]],$BV$3:$CB$11,2,TRUE)=3,VLOOKUP(Tabell1345[[#This Row],[Nr]],$BV$3:$CB$11,6,TRUE),NA())</calculatedColumnFormula>
    </tableColumn>
    <tableColumn id="21" xr3:uid="{00000000-0010-0000-0000-000015000000}" name="UCL4" dataDxfId="62">
      <calculatedColumnFormula>IF(VLOOKUP(Tabell1345[[#This Row],[Nr]],$BV$3:$CB$11,2,TRUE)=4,VLOOKUP(Tabell1345[[#This Row],[Nr]],$BV$3:$CB$11,6,TRUE),NA())</calculatedColumnFormula>
    </tableColumn>
    <tableColumn id="39" xr3:uid="{00000000-0010-0000-0000-000027000000}" name="UCL5" dataDxfId="61">
      <calculatedColumnFormula>IF(VLOOKUP(Tabell1345[[#This Row],[Nr]],$BV$3:$CB$11,2,TRUE)=5,VLOOKUP(Tabell1345[[#This Row],[Nr]],$BV$3:$CB$11,6,TRUE),NA())</calculatedColumnFormula>
    </tableColumn>
    <tableColumn id="40" xr3:uid="{00000000-0010-0000-0000-000028000000}" name="UCL6" dataDxfId="60">
      <calculatedColumnFormula>IF(VLOOKUP(Tabell1345[[#This Row],[Nr]],$BV$3:$CB$11,2,TRUE)=6,VLOOKUP(Tabell1345[[#This Row],[Nr]],$BV$3:$CB$11,6,TRUE),NA())</calculatedColumnFormula>
    </tableColumn>
    <tableColumn id="42" xr3:uid="{00000000-0010-0000-0000-00002A000000}" name="UCL7" dataDxfId="59">
      <calculatedColumnFormula>IF(VLOOKUP(Tabell1345[[#This Row],[Nr]],$BV$3:$CB$11,2,TRUE)=7,VLOOKUP(Tabell1345[[#This Row],[Nr]],$BV$3:$CB$11,6,TRUE),NA())</calculatedColumnFormula>
    </tableColumn>
    <tableColumn id="22" xr3:uid="{00000000-0010-0000-0000-000016000000}" name="LCL1" dataDxfId="58">
      <calculatedColumnFormula>IF(VLOOKUP(Tabell1345[[#This Row],[Nr]],$BV$3:$CB$11,2,TRUE)=1,VLOOKUP(Tabell1345[[#This Row],[Nr]],$BV$3:$CB$11,7,TRUE),NA())</calculatedColumnFormula>
    </tableColumn>
    <tableColumn id="23" xr3:uid="{00000000-0010-0000-0000-000017000000}" name="LCL2" dataDxfId="57">
      <calculatedColumnFormula>IF(VLOOKUP(Tabell1345[[#This Row],[Nr]],$BV$3:$CB$11,2,TRUE)=2,VLOOKUP(Tabell1345[[#This Row],[Nr]],$BV$3:$CB$11,7,TRUE),NA())</calculatedColumnFormula>
    </tableColumn>
    <tableColumn id="24" xr3:uid="{00000000-0010-0000-0000-000018000000}" name="LCL3" dataDxfId="56">
      <calculatedColumnFormula>IF(VLOOKUP(Tabell1345[[#This Row],[Nr]],$BV$3:$CB$11,2,TRUE)=3,VLOOKUP(Tabell1345[[#This Row],[Nr]],$BV$3:$CB$11,7,TRUE),NA())</calculatedColumnFormula>
    </tableColumn>
    <tableColumn id="25" xr3:uid="{00000000-0010-0000-0000-000019000000}" name="LCL4" dataDxfId="55">
      <calculatedColumnFormula>IF(VLOOKUP(Tabell1345[[#This Row],[Nr]],$BV$3:$CB$11,2,TRUE)=4,VLOOKUP(Tabell1345[[#This Row],[Nr]],$BV$3:$CB$11,7,TRUE),NA())</calculatedColumnFormula>
    </tableColumn>
    <tableColumn id="43" xr3:uid="{00000000-0010-0000-0000-00002B000000}" name="LCL5" dataDxfId="54">
      <calculatedColumnFormula>IF(VLOOKUP(Tabell1345[[#This Row],[Nr]],$BV$3:$CB$11,2,TRUE)=5,VLOOKUP(Tabell1345[[#This Row],[Nr]],$BV$3:$CB$11,7,TRUE),NA())</calculatedColumnFormula>
    </tableColumn>
    <tableColumn id="44" xr3:uid="{00000000-0010-0000-0000-00002C000000}" name="LCL6" dataDxfId="53">
      <calculatedColumnFormula>IF(VLOOKUP(Tabell1345[[#This Row],[Nr]],$BV$3:$CB$11,2,TRUE)=6,VLOOKUP(Tabell1345[[#This Row],[Nr]],$BV$3:$CB$11,7,TRUE),NA())</calculatedColumnFormula>
    </tableColumn>
    <tableColumn id="45" xr3:uid="{00000000-0010-0000-0000-00002D000000}" name="LCL7" dataDxfId="52">
      <calculatedColumnFormula>IF(VLOOKUP(Tabell1345[[#This Row],[Nr]],$BV$3:$CB$11,2,TRUE)=7,VLOOKUP(Tabell1345[[#This Row],[Nr]],$BV$3:$CB$11,7,TRUE),NA())</calculatedColumnFormula>
    </tableColumn>
    <tableColumn id="33" xr3:uid="{00000000-0010-0000-0000-000021000000}" name="Median1" dataDxfId="51">
      <calculatedColumnFormula>IF(VLOOKUP(Tabell1345[[#This Row],[Nr]],$BV$3:$CB$11,2,TRUE)=1,VLOOKUP(Tabell1345[[#This Row],[Nr]],$BV$3:$CB$11,5,TRUE),NA())</calculatedColumnFormula>
    </tableColumn>
    <tableColumn id="32" xr3:uid="{00000000-0010-0000-0000-000020000000}" name="Median2" dataDxfId="50">
      <calculatedColumnFormula>IF(VLOOKUP(Tabell1345[[#This Row],[Nr]],$BV$3:$CB$11,2,TRUE)=2,VLOOKUP(Tabell1345[[#This Row],[Nr]],$BV$3:$CB$11,5,TRUE),NA())</calculatedColumnFormula>
    </tableColumn>
    <tableColumn id="31" xr3:uid="{00000000-0010-0000-0000-00001F000000}" name="Median3" dataDxfId="49">
      <calculatedColumnFormula>IF(VLOOKUP(Tabell1345[[#This Row],[Nr]],$BV$3:$CB$11,2,TRUE)=3,VLOOKUP(Tabell1345[[#This Row],[Nr]],$BV$3:$CB$11,5,TRUE),NA())</calculatedColumnFormula>
    </tableColumn>
    <tableColumn id="14" xr3:uid="{00000000-0010-0000-0000-00000E000000}" name="Median4" dataDxfId="48">
      <calculatedColumnFormula>IF(VLOOKUP(Tabell1345[[#This Row],[Nr]],$BV$3:$CB$11,2,TRUE)=4,VLOOKUP(Tabell1345[[#This Row],[Nr]],$BV$3:$CB$11,5,TRUE),NA())</calculatedColumnFormula>
    </tableColumn>
    <tableColumn id="46" xr3:uid="{00000000-0010-0000-0000-00002E000000}" name="Median5" dataDxfId="47">
      <calculatedColumnFormula>IF(VLOOKUP(Tabell1345[[#This Row],[Nr]],$BV$3:$CB$11,2,TRUE)=5,VLOOKUP(Tabell1345[[#This Row],[Nr]],$BV$3:$CB$11,5,TRUE),NA())</calculatedColumnFormula>
    </tableColumn>
    <tableColumn id="47" xr3:uid="{00000000-0010-0000-0000-00002F000000}" name="Median6" dataDxfId="46">
      <calculatedColumnFormula>IF(VLOOKUP(Tabell1345[[#This Row],[Nr]],$BV$3:$CB$11,2,TRUE)=6,VLOOKUP(Tabell1345[[#This Row],[Nr]],$BV$3:$CB$11,5,TRUE),NA())</calculatedColumnFormula>
    </tableColumn>
    <tableColumn id="48" xr3:uid="{00000000-0010-0000-0000-000030000000}" name="Median7" dataDxfId="45">
      <calculatedColumnFormula>IF(VLOOKUP(Tabell1345[[#This Row],[Nr]],$BV$3:$CB$11,2,TRUE)=7,VLOOKUP(Tabell1345[[#This Row],[Nr]],$BV$3:$CB$11,5,TRUE),NA())</calculatedColumnFormula>
    </tableColumn>
    <tableColumn id="26" xr3:uid="{00000000-0010-0000-0000-00001A000000}" name="Verdi1" dataDxfId="44">
      <calculatedColumnFormula>IF(VLOOKUP(Tabell1345[[#This Row],[Nr]],$BV$3:$CB$11,2,TRUE)=1,Tabell1345[[#This Row],[Verdi_korrigert_IT]],NA())</calculatedColumnFormula>
    </tableColumn>
    <tableColumn id="27" xr3:uid="{00000000-0010-0000-0000-00001B000000}" name="Verdi2" dataDxfId="43">
      <calculatedColumnFormula>IF(VLOOKUP(Tabell1345[[#This Row],[Nr]],$BV$3:$CB$11,2,TRUE)=2,Tabell1345[[#This Row],[Verdi_korrigert_IT]],NA())</calculatedColumnFormula>
    </tableColumn>
    <tableColumn id="28" xr3:uid="{00000000-0010-0000-0000-00001C000000}" name="Verdi3" dataDxfId="42">
      <calculatedColumnFormula>IF(VLOOKUP(Tabell1345[[#This Row],[Nr]],$BV$3:$CB$11,2,TRUE)=3,Tabell1345[[#This Row],[Verdi_korrigert_IT]],NA())</calculatedColumnFormula>
    </tableColumn>
    <tableColumn id="29" xr3:uid="{00000000-0010-0000-0000-00001D000000}" name="Verdi4" dataDxfId="41">
      <calculatedColumnFormula>IF(VLOOKUP(Tabell1345[[#This Row],[Nr]],$BV$3:$CB$11,2,TRUE)=4,Tabell1345[[#This Row],[Verdi_korrigert_IT]],NA())</calculatedColumnFormula>
    </tableColumn>
    <tableColumn id="49" xr3:uid="{00000000-0010-0000-0000-000031000000}" name="Verdi5" dataDxfId="40">
      <calculatedColumnFormula>IF(VLOOKUP(Tabell1345[[#This Row],[Nr]],$BV$3:$CB$11,2,TRUE)=5,Tabell1345[[#This Row],[Verdi_korrigert_IT]],NA())</calculatedColumnFormula>
    </tableColumn>
    <tableColumn id="50" xr3:uid="{00000000-0010-0000-0000-000032000000}" name="Verdi6" dataDxfId="39">
      <calculatedColumnFormula>IF(VLOOKUP(Tabell1345[[#This Row],[Nr]],$BV$3:$CB$11,2,TRUE)=6,Tabell1345[[#This Row],[Verdi_korrigert_IT]],NA())</calculatedColumnFormula>
    </tableColumn>
    <tableColumn id="51" xr3:uid="{00000000-0010-0000-0000-000033000000}" name="Verdi7" dataDxfId="38">
      <calculatedColumnFormula>IF(VLOOKUP(Tabell1345[[#This Row],[Nr]],$BV$3:$CB$11,2,TRUE)=7,Tabell1345[[#This Row],[Verdi_korrigert_IT]],NA())</calculatedColumnFormula>
    </tableColumn>
    <tableColumn id="52" xr3:uid="{00000000-0010-0000-0000-000034000000}" name="ser_indeks" dataDxfId="37">
      <calculatedColumnFormula>IF(Tabell1345[[#This Row],[Brudd]]&lt;&gt;"*",IF(ISNUMBER(OFFSET(Tabell1345[[#This Row],[ser_indeks]],-1,0)),OFFSET(Tabell1345[[#This Row],[ser_indeks]],-1,0),0),0)+1</calculatedColumnFormula>
    </tableColumn>
    <tableColumn id="62" xr3:uid="{00000000-0010-0000-0000-00003E000000}" name="serie_nr" dataDxfId="36">
      <calculatedColumnFormula>VLOOKUP(Tabell1345[[#This Row],[Nr]],$BV$2:$BW$9,2,TRUE)</calculatedColumnFormula>
    </tableColumn>
    <tableColumn id="69" xr3:uid="{00000000-0010-0000-0000-000045000000}" name="til_brudd_rader" dataDxfId="35">
      <calculatedColumnFormula>IF(OFFSET(Tabell1345[[#This Row],[ser_indeks]],1,0)&lt;Tabell1345[[#This Row],[ser_indeks]],1,0)</calculatedColumnFormula>
    </tableColumn>
    <tableColumn id="54" xr3:uid="{00000000-0010-0000-0000-000036000000}" name="verdi_korrigert" dataDxfId="34">
      <calculatedColumnFormula>IFERROR(VALUE(Tabell1345[[#This Row],[Verdi_korrigert_IT]]),OFFSET(Tabell1345[[#This Row],[verdi_korrigert]],-1,0))</calculatedColumnFormula>
    </tableColumn>
    <tableColumn id="53" xr3:uid="{00000000-0010-0000-0000-000035000000}" name="rang" dataDxfId="33">
      <calculatedColumnFormula>_xlfn.RANK.AVG(Tabell1345[[#This Row],[verdi_korrigert]],Tabell1345[verdi_korrigert],1)</calculatedColumnFormula>
    </tableColumn>
    <tableColumn id="58" xr3:uid="{00000000-0010-0000-0000-00003A000000}" name="rang_samme" dataDxfId="32">
      <calculatedColumnFormula>IF(Tabell1345[[#This Row],[rang]]=OFFSET(Tabell1345[[#This Row],[rang]],1,0),1,0)</calculatedColumnFormula>
    </tableColumn>
    <tableColumn id="55" xr3:uid="{00000000-0010-0000-0000-000037000000}" name="rang_stig" dataDxfId="31">
      <calculatedColumnFormula>IF(AND(Tabell1345[[#This Row],[rang]]&gt;=OFFSET(Tabell1345[[#This Row],[rang]],-1,0),Tabell1345[[#This Row],[ser_indeks]]&gt;1),IFERROR(VALUE(OFFSET(Tabell1345[[#This Row],[rang_stig]],-1,0)),0)+1,VALUE($CH$3)-1)-Tabell1345[[#This Row],[rang_samme]]</calculatedColumnFormula>
    </tableColumn>
    <tableColumn id="56" xr3:uid="{00000000-0010-0000-0000-000038000000}" name="rang_synk" dataDxfId="30">
      <calculatedColumnFormula>IF(AND(Tabell1345[[#This Row],[rang]]&lt;=OFFSET(Tabell1345[[#This Row],[rang]],-1,0),Tabell1345[[#This Row],[ser_indeks]]&gt;1),IFERROR(VALUE(OFFSET(Tabell1345[[#This Row],[rang_synk]],-1,0)),0)+1,VALUE($CH$3)-1)-Tabell1345[[#This Row],[rang_samme]]</calculatedColumnFormula>
    </tableColumn>
    <tableColumn id="60" xr3:uid="{00000000-0010-0000-0000-00003C000000}" name="rang_stigsynk" dataDxfId="29">
      <calculatedColumnFormula>MAXA(Tabell1345[[#This Row],[rang_stig]:[rang_synk]])</calculatedColumnFormula>
    </tableColumn>
    <tableColumn id="65" xr3:uid="{00000000-0010-0000-0000-000041000000}" name="trend_omr" dataDxfId="28">
      <calculatedColumnFormula>($CH$2-1)+_xlfn.AGGREGATE(9,6,Tabell1345[[#This Row],[rang_samme]]:OFFSET(Tabell1345[[#This Row],[rang_samme]],($CH$2-1),0))</calculatedColumnFormula>
    </tableColumn>
    <tableColumn id="57" xr3:uid="{00000000-0010-0000-0000-000039000000}" name="Test 3: trend" dataDxfId="27">
      <calculatedColumnFormula>IF($G$9="ja",IF(MAXA(Tabell1345[[#This Row],[rang_stigsynk]]:INDIRECT(ADDRESS(ROW(Tabell1345[[#This Row],[rang_stigsynk]])+Tabell1345[[#This Row],[trend_omr]],COLUMN(Tabell1345[[#This Row],[rang_stigsynk]]))))&gt;($CH$2-2),Tabell1345[[#This Row],[Verdi_korrigert_IT]],NA()),NA())</calculatedColumnFormula>
    </tableColumn>
    <tableColumn id="64" xr3:uid="{00000000-0010-0000-0000-000040000000}" name="skifte_lav1" dataDxfId="26">
      <calculatedColumnFormula>IF(Tabell1345[[#This Row],[ser_indeks]]&gt;3,_xlfn.AGGREGATE(4,4,OFFSET(Tabell1345[[#This Row],[Verdi1]],-3,Tabell1345[[#This Row],[serie_nr]]-1):OFFSET(Tabell1345[[#This Row],[Verdi1]],4,Tabell1345[[#This Row],[serie_nr]]-1)),NA())</calculatedColumnFormula>
    </tableColumn>
    <tableColumn id="67" xr3:uid="{00000000-0010-0000-0000-000043000000}" name="skifte_høy1" dataDxfId="25">
      <calculatedColumnFormula>IF(Tabell1345[[#This Row],[ser_indeks]]&gt;3,_xlfn.AGGREGATE(5,4,OFFSET(Tabell1345[[#This Row],[Verdi1]],-3,Tabell1345[[#This Row],[serie_nr]]-1):OFFSET(Tabell1345[[#This Row],[Verdi1]],4,Tabell1345[[#This Row],[serie_nr]]-1)),NA())</calculatedColumnFormula>
    </tableColumn>
    <tableColumn id="70" xr3:uid="{00000000-0010-0000-0000-000046000000}" name="skifte_lav2" dataDxfId="24">
      <calculatedColumnFormula>IF(_xlfn.AGGREGATE(4,6,Tabell1345[[#This Row],[til_brudd_rader]]:OFFSET(Tabell1345[[#This Row],[til_brudd_rader]],3,0))&gt;0,NA(),IF(Tabell1345[[#This Row],[skifte_lav1]]&lt;Tabell1345[[#This Row],[Snitt]],Tabell1345[[#This Row],[Verdi_korrigert_IT]],NA()))</calculatedColumnFormula>
    </tableColumn>
    <tableColumn id="68" xr3:uid="{00000000-0010-0000-0000-000044000000}" name="skifte_høy2" dataDxfId="23">
      <calculatedColumnFormula>IF(_xlfn.AGGREGATE(4,6,Tabell1345[[#This Row],[til_brudd_rader]]:OFFSET(Tabell1345[[#This Row],[til_brudd_rader]],3,0))&gt;0,NA(),IF(Tabell1345[[#This Row],[skifte_høy1]]&gt;Tabell1345[[#This Row],[Snitt]],Tabell1345[[#This Row],[Verdi_korrigert_IT]],NA()))</calculatedColumnFormula>
    </tableColumn>
    <tableColumn id="59" xr3:uid="{00000000-0010-0000-0000-00003B000000}" name="Test 2: skifte" dataDxfId="22">
      <calculatedColumnFormula>IF($G$9="ja",IFERROR(IF(_xlfn.AGGREGATE(4,6,OFFSET(Tabell1345[[#This Row],[skifte_lav2]],-4,0):OFFSET(Tabell1345[[#This Row],[skifte_lav2]],3,1))&gt;0,Tabell1345[[#This Row],[Verdi_korrigert_IT]],NA()),NA()),NA())</calculatedColumnFormula>
    </tableColumn>
    <tableColumn id="61" xr3:uid="{00000000-0010-0000-0000-00003D000000}" name="Test1: punkt utenfor kontrollgrense" dataDxfId="21">
      <calculatedColumnFormula>IF($G$9="ja",IF(OR(Tabell1345[[#This Row],[Verdi_korrigert_IT]]&gt;Tabell1345[[#This Row],[UCL]],Tabell1345[[#This Row],[Verdi_korrigert_IT]]&lt;Tabell1345[[#This Row],[LCL]]),Tabell1345[[#This Row],[Verdi_korrigert_IT]],NA()),NA())</calculatedColumnFormula>
    </tableColumn>
    <tableColumn id="66" xr3:uid="{C9D0ADB7-E2AB-451A-8B26-FC1DD7F644CD}" name="Verdi_korrigert_blank" dataDxfId="20">
      <calculatedColumnFormula>IF(Tabell1345[[#This Row],[Brudd]]="x","",Tabell1345[[#This Row],[Verdi]])</calculatedColumnFormula>
    </tableColumn>
    <tableColumn id="71" xr3:uid="{D616CEDC-5CFB-4A98-A25B-598CCFB69361}" name="Verdi_korrigert_IT" dataDxfId="19">
      <calculatedColumnFormula>IF(Tabell1345[[#This Row],[Brudd]]="x",NA(),Tabell1345[[#This Row],[Verdi]])</calculatedColumnFormula>
    </tableColumn>
    <tableColumn id="16" xr3:uid="{8D174E9A-9A0F-4059-831F-45B353FF4921}" name="ForrigeGyldige" dataDxfId="18">
      <calculatedColumnFormula>IF(ISERROR(Tabell1345[[#This Row],[Verdi_korrigert_IT]]),OFFSET(Tabell1345[[#This Row],[ForrigeGyldige]],-1,0),Tabell1345[[#This Row],[Verdi]])</calculatedColumnFormula>
    </tableColumn>
    <tableColumn id="63" xr3:uid="{26088311-7A7B-4EE6-B22A-48B8B53CDB7A}" name="EkslGraf" dataDxfId="17">
      <calculatedColumnFormula>Tabell1345[[#This Row],[Verdi]]</calculatedColumnFormula>
    </tableColumn>
    <tableColumn id="17" xr3:uid="{668A7404-9FAD-4BD2-BA83-ED158A824545}" name="VisKommentar" dataDxfId="16"/>
    <tableColumn id="34" xr3:uid="{00000000-0010-0000-0000-000022000000}" name="Kommentar4" dataDxfId="15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ell1" displayName="Tabell1" ref="A14:L35" totalsRowShown="0">
  <autoFilter ref="A14:L35" xr:uid="{00000000-0009-0000-0100-000001000000}"/>
  <tableColumns count="12">
    <tableColumn id="1" xr3:uid="{00000000-0010-0000-0100-000001000000}" name="Nr">
      <calculatedColumnFormula>IF(ISNUMBER(OFFSET(Tabell1[[#This Row],[Nr]],-1,0)),OFFSET(Tabell1[[#This Row],[Nr]],-1,0))+1</calculatedColumnFormula>
    </tableColumn>
    <tableColumn id="2" xr3:uid="{00000000-0010-0000-0100-000002000000}" name="Dato"/>
    <tableColumn id="3" xr3:uid="{00000000-0010-0000-0100-000003000000}" name="Verdi1" dataDxfId="14"/>
    <tableColumn id="4" xr3:uid="{00000000-0010-0000-0100-000004000000}" name="Verdi2" dataDxfId="13"/>
    <tableColumn id="5" xr3:uid="{00000000-0010-0000-0100-000005000000}" name="Verdi3" dataDxfId="12"/>
    <tableColumn id="6" xr3:uid="{00000000-0010-0000-0100-000006000000}" name="Verdi4" dataDxfId="11"/>
    <tableColumn id="7" xr3:uid="{00000000-0010-0000-0100-000007000000}" name="Verdi5" dataDxfId="10"/>
    <tableColumn id="8" xr3:uid="{00000000-0010-0000-0100-000008000000}" name="Verdi6" dataDxfId="9"/>
    <tableColumn id="9" xr3:uid="{00000000-0010-0000-0100-000009000000}" name="Verdi7" dataDxfId="8"/>
    <tableColumn id="10" xr3:uid="{00000000-0010-0000-0100-00000A000000}" name="Totalskår" dataDxfId="7">
      <calculatedColumnFormula>Tabell1[[#This Row],[Verdi1]]*C$12+Tabell1[[#This Row],[Verdi2]]*D$12+Tabell1[[#This Row],[Verdi3]]*E$12+Tabell1[[#This Row],[Verdi4]]*F$12+Tabell1[[#This Row],[Verdi5]]*G$12+Tabell1[[#This Row],[Verdi6]]*H$12+Tabell1[[#This Row],[Verdi7]]*I$12</calculatedColumnFormula>
    </tableColumn>
    <tableColumn id="11" xr3:uid="{00000000-0010-0000-0100-00000B000000}" name="Totalskår prosent" dataDxfId="6" dataCellStyle="Komma">
      <calculatedColumnFormula>Tabell1[[#This Row],[Totalskår]]/K$12*100</calculatedColumnFormula>
    </tableColumn>
    <tableColumn id="12" xr3:uid="{00000000-0010-0000-0100-00000C000000}" name="Kommentar" dataDxfId="5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ell2" displayName="Tabell2" ref="A3:B10" totalsRowShown="0">
  <autoFilter ref="A3:B10" xr:uid="{00000000-0009-0000-0100-000002000000}"/>
  <tableColumns count="2">
    <tableColumn id="1" xr3:uid="{00000000-0010-0000-0200-000001000000}" name="Kategori"/>
    <tableColumn id="2" xr3:uid="{00000000-0010-0000-0200-000002000000}" name="Sum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Tabell24" displayName="Tabell24" ref="A3:B10" totalsRowShown="0">
  <autoFilter ref="A3:B10" xr:uid="{00000000-0009-0000-0100-000003000000}"/>
  <tableColumns count="2">
    <tableColumn id="1" xr3:uid="{00000000-0010-0000-0300-000001000000}" name="Kategori"/>
    <tableColumn id="2" xr3:uid="{00000000-0010-0000-0300-000002000000}" name="Sum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47"/>
  <sheetViews>
    <sheetView showGridLines="0" tabSelected="1" topLeftCell="A15" zoomScale="85" zoomScaleNormal="85" zoomScalePageLayoutView="70" workbookViewId="0">
      <selection activeCell="E29" sqref="E29"/>
    </sheetView>
  </sheetViews>
  <sheetFormatPr baseColWidth="10" defaultColWidth="11.453125" defaultRowHeight="14.5" x14ac:dyDescent="0.35"/>
  <cols>
    <col min="1" max="1" width="7.1796875" customWidth="1"/>
    <col min="2" max="3" width="10.81640625" customWidth="1"/>
    <col min="4" max="4" width="9.81640625" customWidth="1"/>
    <col min="5" max="5" width="16.54296875" customWidth="1"/>
    <col min="6" max="6" width="16.7265625" customWidth="1"/>
    <col min="7" max="7" width="18.26953125" customWidth="1"/>
    <col min="8" max="8" width="8" hidden="1" customWidth="1"/>
    <col min="9" max="9" width="11.7265625" hidden="1" customWidth="1"/>
    <col min="10" max="15" width="11.54296875" hidden="1" customWidth="1"/>
    <col min="16" max="48" width="9.7265625" hidden="1" customWidth="1"/>
    <col min="49" max="51" width="10" hidden="1" customWidth="1"/>
    <col min="52" max="59" width="9.7265625" hidden="1" customWidth="1"/>
    <col min="60" max="63" width="9.7265625" style="5" hidden="1" customWidth="1"/>
    <col min="64" max="70" width="9.7265625" hidden="1" customWidth="1"/>
    <col min="71" max="71" width="18.1796875" customWidth="1"/>
    <col min="72" max="72" width="3.1796875" customWidth="1"/>
    <col min="73" max="73" width="10.7265625" customWidth="1"/>
    <col min="74" max="74" width="12.453125" customWidth="1"/>
    <col min="75" max="76" width="12.7265625" hidden="1" customWidth="1"/>
    <col min="77" max="77" width="13.7265625" customWidth="1"/>
    <col min="78" max="78" width="7.7265625" customWidth="1"/>
    <col min="79" max="79" width="8.7265625" customWidth="1"/>
    <col min="80" max="80" width="7.1796875" customWidth="1"/>
    <col min="81" max="82" width="8.54296875" hidden="1" customWidth="1"/>
    <col min="83" max="83" width="11.54296875" hidden="1" customWidth="1"/>
    <col min="84" max="84" width="25.81640625" customWidth="1"/>
    <col min="85" max="85" width="31.54296875" customWidth="1"/>
    <col min="86" max="86" width="6.7265625" customWidth="1"/>
    <col min="87" max="87" width="42.54296875" style="3" customWidth="1"/>
    <col min="88" max="93" width="11.54296875" style="3" hidden="1" customWidth="1"/>
    <col min="94" max="99" width="11.54296875" customWidth="1"/>
  </cols>
  <sheetData>
    <row r="1" spans="1:93" ht="36" customHeight="1" x14ac:dyDescent="0.35"/>
    <row r="2" spans="1:93" s="6" customFormat="1" ht="25.9" customHeight="1" x14ac:dyDescent="0.35">
      <c r="BH2" s="7"/>
      <c r="BI2" s="7"/>
      <c r="BJ2" s="7"/>
      <c r="BK2" s="7"/>
      <c r="BU2" s="17" t="s">
        <v>0</v>
      </c>
      <c r="BV2" s="18" t="s">
        <v>1</v>
      </c>
      <c r="BW2" s="18" t="s">
        <v>2</v>
      </c>
      <c r="BX2" s="18" t="s">
        <v>3</v>
      </c>
      <c r="BY2" s="14" t="s">
        <v>4</v>
      </c>
      <c r="BZ2" s="14" t="s">
        <v>5</v>
      </c>
      <c r="CA2" s="14" t="s">
        <v>6</v>
      </c>
      <c r="CB2" s="14" t="s">
        <v>7</v>
      </c>
      <c r="CC2" s="19" t="s">
        <v>8</v>
      </c>
      <c r="CD2" s="19" t="s">
        <v>9</v>
      </c>
      <c r="CE2" s="6" t="s">
        <v>10</v>
      </c>
      <c r="CG2" s="16" t="s">
        <v>11</v>
      </c>
      <c r="CH2" s="12">
        <v>6</v>
      </c>
      <c r="CI2" s="8"/>
      <c r="CJ2" s="8"/>
      <c r="CK2" s="8"/>
      <c r="CL2" s="8"/>
      <c r="CM2" s="8"/>
      <c r="CN2" s="8"/>
      <c r="CO2" s="8"/>
    </row>
    <row r="3" spans="1:93" s="6" customFormat="1" ht="12.65" customHeight="1" x14ac:dyDescent="0.35">
      <c r="BH3" s="7"/>
      <c r="BI3" s="7"/>
      <c r="BJ3" s="7"/>
      <c r="BK3" s="7"/>
      <c r="BU3" s="20" t="s">
        <v>12</v>
      </c>
      <c r="BV3" s="6">
        <f t="shared" ref="BV3:BV11" ca="1" si="0">IFERROR(IF(CD4&lt;&gt;"",INDIRECT(ADDRESS(CD3,1)),""),"")</f>
        <v>1</v>
      </c>
      <c r="BW3" s="6">
        <v>1</v>
      </c>
      <c r="BX3" s="6">
        <f ca="1">IF(BV4&lt;&gt;"",BV4,ROW(Tabell1345[#All])+ROWS(Tabell1345[#All]))</f>
        <v>14</v>
      </c>
      <c r="BY3" s="21">
        <f ca="1">IFERROR(AVERAGE(INDIRECT(ADDRESS(CD3,66)):INDIRECT(ADDRESS(CD4+CE3,66))),IF(BV3&lt;&gt;"",BY2,""))</f>
        <v>54.583333333333336</v>
      </c>
      <c r="BZ3" s="21">
        <f ca="1">IFERROR(MEDIAN(INDIRECT(ADDRESS(CD3,66)):INDIRECT(ADDRESS(CD4+CE3,66))),IF(BV3&lt;&gt;"",BZ2,""))</f>
        <v>51.5</v>
      </c>
      <c r="CA3" s="21">
        <f t="shared" ref="CA3:CA10" ca="1" si="1">IFERROR(BY3+2.66*CC3,IF(BV3&lt;&gt;"",CA2,""))</f>
        <v>91.339696969696973</v>
      </c>
      <c r="CB3" s="22">
        <f t="shared" ref="CB3:CB10" ca="1" si="2">IFERROR(BY3-2.66*CC3,IF(BV3&lt;&gt;"",CB2,""))</f>
        <v>17.826969696969698</v>
      </c>
      <c r="CC3" s="21">
        <f ca="1">IFERROR(AVERAGE(INDIRECT(ADDRESS(CD3,13)):INDIRECT(ADDRESS(CD4+CE3,13))),"")</f>
        <v>13.818181818181818</v>
      </c>
      <c r="CD3" s="6">
        <f>ROW(Tabell1345[#All])+1</f>
        <v>15</v>
      </c>
      <c r="CE3" s="6">
        <f>IFERROR(IF(CD4+1=(ROW(Tabell1345[#All])+ROWS(Tabell1345[#All])),0,-1),"")</f>
        <v>-1</v>
      </c>
      <c r="CG3" s="16" t="s">
        <v>13</v>
      </c>
      <c r="CH3" s="12">
        <v>1</v>
      </c>
      <c r="CI3" s="8"/>
      <c r="CJ3" s="8" t="s">
        <v>12</v>
      </c>
      <c r="CK3" s="8">
        <v>1</v>
      </c>
      <c r="CL3" s="8"/>
      <c r="CM3" s="8" t="str">
        <f ca="1">BY2&amp;" " &amp; BW3&amp;": "&amp; ROUND(BY3,$G$4) &amp; ", " &amp; $CA$2 &amp; " " &amp; ROUND(CA3,$G$4) &amp;", " &amp;  $CB$2 &amp; " " &amp; ROUND(CB3,$G$4)</f>
        <v>Gjennomsnitt 1: 54,58, UCL 91,34, LCL 17,83</v>
      </c>
      <c r="CN3" s="8" t="str">
        <f ca="1">BZ2&amp;" " &amp; BW3&amp;": "&amp; ROUND(BZ3,$G$4)</f>
        <v>Median 1: 51,5</v>
      </c>
      <c r="CO3" s="8"/>
    </row>
    <row r="4" spans="1:93" s="6" customFormat="1" ht="21" customHeight="1" x14ac:dyDescent="0.6">
      <c r="A4" s="15" t="s">
        <v>14</v>
      </c>
      <c r="F4" s="9" t="s">
        <v>15</v>
      </c>
      <c r="G4" s="12">
        <v>2</v>
      </c>
      <c r="BH4" s="7"/>
      <c r="BI4" s="7"/>
      <c r="BJ4" s="7"/>
      <c r="BK4" s="7"/>
      <c r="BU4" s="20" t="s">
        <v>16</v>
      </c>
      <c r="BV4" s="6">
        <f t="shared" ca="1" si="0"/>
        <v>14</v>
      </c>
      <c r="BW4" s="6">
        <v>2</v>
      </c>
      <c r="BX4" s="6">
        <f ca="1">IF(BV5&lt;&gt;"",BV5,ROW(Tabell1345[#All])+ROWS(Tabell1345[#All]))</f>
        <v>48</v>
      </c>
      <c r="BY4" s="21">
        <f ca="1">IFERROR(AVERAGE(INDIRECT(ADDRESS(CD4,66)):INDIRECT(ADDRESS(CD5+CE4,66))),IF(BV4&lt;&gt;"",BY3,""))</f>
        <v>42.7</v>
      </c>
      <c r="BZ4" s="21">
        <f ca="1">IFERROR(MEDIAN(INDIRECT(ADDRESS(CD4,66)):INDIRECT(ADDRESS(CD5+CE4,66))),IF(BV4&lt;&gt;"",BZ3,""))</f>
        <v>40.5</v>
      </c>
      <c r="CA4" s="21">
        <f t="shared" ca="1" si="1"/>
        <v>86.38000000000001</v>
      </c>
      <c r="CB4" s="22">
        <f t="shared" ca="1" si="2"/>
        <v>-0.98000000000000398</v>
      </c>
      <c r="CC4" s="21">
        <f ca="1">IFERROR(AVERAGE(INDIRECT(ADDRESS(CD4,13)):INDIRECT(ADDRESS(CD5+CE4,13))),"")</f>
        <v>16.421052631578949</v>
      </c>
      <c r="CD4" s="6">
        <f>IFERROR(SMALL(Tabell1345[[BruddKode ]],CK4-1),"")</f>
        <v>28</v>
      </c>
      <c r="CE4" s="6">
        <f>IFERROR(IF(CD5+1=(ROW(Tabell1345[#All])+ROWS(Tabell1345[#All])),0,-1),"")</f>
        <v>0</v>
      </c>
      <c r="CI4" s="8"/>
      <c r="CJ4" s="8" t="s">
        <v>16</v>
      </c>
      <c r="CK4" s="8">
        <v>2</v>
      </c>
      <c r="CL4" s="8"/>
      <c r="CM4" s="8" t="str">
        <f t="shared" ref="CM4:CM9" ca="1" si="3">IF(BV4&lt;&gt;"","    |    "&amp;$BY$2&amp;" " &amp; BW4&amp;": "&amp; ROUND(BY4,$G$4) &amp; ", " &amp; $CA$2 &amp; " " &amp; ROUND(CA4,$G$4) &amp;", " &amp;  $CB$2 &amp; " " &amp; ROUND(CB4,$G$4),"")</f>
        <v xml:space="preserve">    |    Gjennomsnitt 2: 42,7, UCL 86,38, LCL -0,98</v>
      </c>
      <c r="CN4" s="8" t="str">
        <f t="shared" ref="CN4:CN9" ca="1" si="4">IF(BV4&lt;&gt;"","    |    "&amp;$BZ$2&amp;" " &amp; BW4&amp;": "&amp; ROUND(BZ4,$G$4) &amp; " ","")</f>
        <v xml:space="preserve">    |    Median 2: 40,5 </v>
      </c>
      <c r="CO4" s="8"/>
    </row>
    <row r="5" spans="1:93" s="6" customFormat="1" ht="12.65" customHeight="1" x14ac:dyDescent="0.35">
      <c r="F5" s="9" t="s">
        <v>17</v>
      </c>
      <c r="G5" s="12" t="s">
        <v>18</v>
      </c>
      <c r="BH5" s="7"/>
      <c r="BI5" s="7"/>
      <c r="BJ5" s="7"/>
      <c r="BK5" s="7"/>
      <c r="BU5" s="20" t="s">
        <v>19</v>
      </c>
      <c r="BV5" s="6" t="str">
        <f t="shared" ca="1" si="0"/>
        <v/>
      </c>
      <c r="BW5" s="6">
        <v>3</v>
      </c>
      <c r="BX5" s="6">
        <f ca="1">IF(BV6&lt;&gt;"",BV6,ROW(Tabell1345[#All])+ROWS(Tabell1345[#All]))</f>
        <v>48</v>
      </c>
      <c r="BY5" s="21" t="str">
        <f ca="1">IFERROR(AVERAGE(INDIRECT(ADDRESS(CD5,66)):INDIRECT(ADDRESS(CD6+CE5,66))),IF(BV5&lt;&gt;"",BY4,""))</f>
        <v/>
      </c>
      <c r="BZ5" s="21" t="str">
        <f ca="1">IFERROR(MEDIAN(INDIRECT(ADDRESS(CD5,66)):INDIRECT(ADDRESS(CD6+CE5,66))),IF(BV5&lt;&gt;"",BZ4,""))</f>
        <v/>
      </c>
      <c r="CA5" s="21" t="str">
        <f t="shared" ca="1" si="1"/>
        <v/>
      </c>
      <c r="CB5" s="22" t="str">
        <f t="shared" ca="1" si="2"/>
        <v/>
      </c>
      <c r="CC5" s="21" t="str">
        <f ca="1">IFERROR(AVERAGE(INDIRECT(ADDRESS(CD5,13)):INDIRECT(ADDRESS(CD6+CE5,13))),"")</f>
        <v/>
      </c>
      <c r="CD5" s="6">
        <f>IFERROR(SMALL(Tabell1345[[BruddKode ]],CK5-1),"")</f>
        <v>47</v>
      </c>
      <c r="CE5" s="6" t="str">
        <f>IFERROR(IF(CD6+1=(ROW(Tabell1345[#All])+ROWS(Tabell1345[#All])),0,-1),"")</f>
        <v/>
      </c>
      <c r="CI5" s="8"/>
      <c r="CJ5" s="8" t="s">
        <v>19</v>
      </c>
      <c r="CK5" s="8">
        <v>3</v>
      </c>
      <c r="CL5" s="8"/>
      <c r="CM5" s="8" t="str">
        <f t="shared" ca="1" si="3"/>
        <v/>
      </c>
      <c r="CN5" s="8" t="str">
        <f t="shared" ca="1" si="4"/>
        <v/>
      </c>
      <c r="CO5" s="8"/>
    </row>
    <row r="6" spans="1:93" s="6" customFormat="1" ht="12.65" customHeight="1" x14ac:dyDescent="0.35">
      <c r="A6" s="13" t="s">
        <v>20</v>
      </c>
      <c r="B6" s="11"/>
      <c r="F6" s="9" t="s">
        <v>21</v>
      </c>
      <c r="G6" s="12" t="s">
        <v>22</v>
      </c>
      <c r="BH6" s="7"/>
      <c r="BI6" s="7"/>
      <c r="BJ6" s="7"/>
      <c r="BK6" s="7"/>
      <c r="BU6" s="20" t="s">
        <v>23</v>
      </c>
      <c r="BV6" s="6" t="str">
        <f t="shared" ca="1" si="0"/>
        <v/>
      </c>
      <c r="BW6" s="6">
        <v>4</v>
      </c>
      <c r="BX6" s="6">
        <f ca="1">IF(BV7&lt;&gt;"",BV7,ROW(Tabell1345[#All])+ROWS(Tabell1345[#All]))</f>
        <v>48</v>
      </c>
      <c r="BY6" s="21" t="str">
        <f ca="1">IFERROR(AVERAGE(INDIRECT(ADDRESS(CD6,66)):INDIRECT(ADDRESS(CD7+CE6,66))),IF(BV6&lt;&gt;"",BY5,""))</f>
        <v/>
      </c>
      <c r="BZ6" s="21" t="str">
        <f ca="1">IFERROR(MEDIAN(INDIRECT(ADDRESS(CD6,66)):INDIRECT(ADDRESS(CD7+CE6,66))),IF(BV6&lt;&gt;"",BZ5,""))</f>
        <v/>
      </c>
      <c r="CA6" s="21" t="str">
        <f t="shared" ca="1" si="1"/>
        <v/>
      </c>
      <c r="CB6" s="22" t="str">
        <f t="shared" ca="1" si="2"/>
        <v/>
      </c>
      <c r="CC6" s="21" t="str">
        <f ca="1">IFERROR(AVERAGE(INDIRECT(ADDRESS(CD6,13)):INDIRECT(ADDRESS(CD7+CE6,13))),"")</f>
        <v/>
      </c>
      <c r="CD6" s="6" t="str">
        <f>IFERROR(SMALL(Tabell1345[[BruddKode ]],CK6-1),"")</f>
        <v/>
      </c>
      <c r="CE6" s="6" t="str">
        <f>IFERROR(IF(CD7+1=(ROW(Tabell1345[#All])+ROWS(Tabell1345[#All])),0,-1),"")</f>
        <v/>
      </c>
      <c r="CI6" s="8"/>
      <c r="CJ6" s="8" t="s">
        <v>23</v>
      </c>
      <c r="CK6" s="8">
        <v>4</v>
      </c>
      <c r="CL6" s="8"/>
      <c r="CM6" s="8" t="str">
        <f t="shared" ca="1" si="3"/>
        <v/>
      </c>
      <c r="CN6" s="8" t="str">
        <f t="shared" ca="1" si="4"/>
        <v/>
      </c>
      <c r="CO6" s="8"/>
    </row>
    <row r="7" spans="1:93" s="6" customFormat="1" ht="12.65" customHeight="1" x14ac:dyDescent="0.35">
      <c r="F7" s="9" t="s">
        <v>24</v>
      </c>
      <c r="G7" s="12"/>
      <c r="BH7" s="7"/>
      <c r="BI7" s="7"/>
      <c r="BJ7" s="7"/>
      <c r="BK7" s="7"/>
      <c r="BU7" s="20" t="s">
        <v>25</v>
      </c>
      <c r="BV7" s="6" t="str">
        <f t="shared" ca="1" si="0"/>
        <v/>
      </c>
      <c r="BW7" s="6">
        <v>5</v>
      </c>
      <c r="BX7" s="6">
        <f ca="1">IF(BV8&lt;&gt;"",BV8,ROW(Tabell1345[#All])+ROWS(Tabell1345[#All]))</f>
        <v>48</v>
      </c>
      <c r="BY7" s="21" t="str">
        <f ca="1">IFERROR(AVERAGE(INDIRECT(ADDRESS(CD7,66)):INDIRECT(ADDRESS(CD8+CE7,66))),IF(BV7&lt;&gt;"",BY6,""))</f>
        <v/>
      </c>
      <c r="BZ7" s="21" t="str">
        <f ca="1">IFERROR(MEDIAN(INDIRECT(ADDRESS(CD7,66)):INDIRECT(ADDRESS(CD8+CE7,66))),IF(BV7&lt;&gt;"",BZ6,""))</f>
        <v/>
      </c>
      <c r="CA7" s="21" t="str">
        <f t="shared" ca="1" si="1"/>
        <v/>
      </c>
      <c r="CB7" s="22" t="str">
        <f t="shared" ca="1" si="2"/>
        <v/>
      </c>
      <c r="CC7" s="21" t="str">
        <f ca="1">IFERROR(AVERAGE(INDIRECT(ADDRESS(CD7,13)):INDIRECT(ADDRESS(CD8+CE7,13))),"")</f>
        <v/>
      </c>
      <c r="CD7" s="6" t="str">
        <f>IFERROR(SMALL(Tabell1345[[BruddKode ]],CK7-1),"")</f>
        <v/>
      </c>
      <c r="CE7" s="6" t="str">
        <f>IFERROR(IF(CD8+1=(ROW(Tabell1345[#All])+ROWS(Tabell1345[#All])),0,-1),"")</f>
        <v/>
      </c>
      <c r="CI7" s="8"/>
      <c r="CJ7" s="8" t="s">
        <v>25</v>
      </c>
      <c r="CK7" s="8">
        <v>5</v>
      </c>
      <c r="CL7" s="8"/>
      <c r="CM7" s="8" t="str">
        <f t="shared" ca="1" si="3"/>
        <v/>
      </c>
      <c r="CN7" s="8" t="str">
        <f t="shared" ca="1" si="4"/>
        <v/>
      </c>
      <c r="CO7" s="8"/>
    </row>
    <row r="8" spans="1:93" s="6" customFormat="1" ht="12.65" customHeight="1" x14ac:dyDescent="0.35">
      <c r="F8" s="10" t="s">
        <v>26</v>
      </c>
      <c r="G8" s="12"/>
      <c r="BH8" s="7"/>
      <c r="BI8" s="7"/>
      <c r="BJ8" s="7"/>
      <c r="BK8" s="7"/>
      <c r="BU8" s="20" t="s">
        <v>27</v>
      </c>
      <c r="BV8" s="6" t="str">
        <f t="shared" ca="1" si="0"/>
        <v/>
      </c>
      <c r="BW8" s="6">
        <v>6</v>
      </c>
      <c r="BX8" s="6">
        <f ca="1">IF(BV9&lt;&gt;"",BV9,ROW(Tabell1345[#All])+ROWS(Tabell1345[#All]))</f>
        <v>48</v>
      </c>
      <c r="BY8" s="21" t="str">
        <f ca="1">IFERROR(AVERAGE(INDIRECT(ADDRESS(CD8,66)):INDIRECT(ADDRESS(CD9+CE8,66))),IF(BV8&lt;&gt;"",BY7,""))</f>
        <v/>
      </c>
      <c r="BZ8" s="21" t="str">
        <f ca="1">IFERROR(MEDIAN(INDIRECT(ADDRESS(CD8,66)):INDIRECT(ADDRESS(CD9+CE8,66))),IF(BV8&lt;&gt;"",BZ7,""))</f>
        <v/>
      </c>
      <c r="CA8" s="21" t="str">
        <f t="shared" ca="1" si="1"/>
        <v/>
      </c>
      <c r="CB8" s="22" t="str">
        <f t="shared" ca="1" si="2"/>
        <v/>
      </c>
      <c r="CC8" s="21" t="str">
        <f ca="1">IFERROR(AVERAGE(INDIRECT(ADDRESS(CD8,13)):INDIRECT(ADDRESS(CD9+CE8,13))),"")</f>
        <v/>
      </c>
      <c r="CD8" s="6" t="str">
        <f>IFERROR(SMALL(Tabell1345[[BruddKode ]],CK8-1),"")</f>
        <v/>
      </c>
      <c r="CE8" s="6" t="str">
        <f>IFERROR(IF(CD9+1=(ROW(Tabell1345[#All])+ROWS(Tabell1345[#All])),0,-1),"")</f>
        <v/>
      </c>
      <c r="CI8" s="8"/>
      <c r="CJ8" s="8" t="s">
        <v>27</v>
      </c>
      <c r="CK8" s="8">
        <v>6</v>
      </c>
      <c r="CL8" s="8"/>
      <c r="CM8" s="8" t="str">
        <f t="shared" ca="1" si="3"/>
        <v/>
      </c>
      <c r="CN8" s="8" t="str">
        <f t="shared" ca="1" si="4"/>
        <v/>
      </c>
      <c r="CO8" s="8"/>
    </row>
    <row r="9" spans="1:93" s="6" customFormat="1" ht="12.65" customHeight="1" x14ac:dyDescent="0.35">
      <c r="F9" s="10" t="s">
        <v>28</v>
      </c>
      <c r="G9" s="12" t="s">
        <v>29</v>
      </c>
      <c r="BH9" s="7"/>
      <c r="BI9" s="7"/>
      <c r="BJ9" s="7"/>
      <c r="BK9" s="7"/>
      <c r="BU9" s="20" t="s">
        <v>30</v>
      </c>
      <c r="BV9" s="6" t="str">
        <f t="shared" ca="1" si="0"/>
        <v/>
      </c>
      <c r="BW9" s="6">
        <v>7</v>
      </c>
      <c r="BX9" s="6">
        <f ca="1">IF(BV10&lt;&gt;"",BV10,ROW(Tabell1345[#All])+ROWS(Tabell1345[#All]))</f>
        <v>48</v>
      </c>
      <c r="BY9" s="21" t="str">
        <f ca="1">IFERROR(AVERAGE(INDIRECT(ADDRESS(CD9,66)):INDIRECT(ADDRESS(CD10+CE9,66))),IF(BV9&lt;&gt;"",BY8,""))</f>
        <v/>
      </c>
      <c r="BZ9" s="21" t="str">
        <f ca="1">IFERROR(MEDIAN(INDIRECT(ADDRESS(CD9,66)):INDIRECT(ADDRESS(CD10+CE9,66))),IF(BV9&lt;&gt;"",BZ8,""))</f>
        <v/>
      </c>
      <c r="CA9" s="21" t="str">
        <f t="shared" ca="1" si="1"/>
        <v/>
      </c>
      <c r="CB9" s="22" t="str">
        <f t="shared" ca="1" si="2"/>
        <v/>
      </c>
      <c r="CC9" s="21" t="str">
        <f ca="1">IFERROR(AVERAGE(INDIRECT(ADDRESS(CD9,13)):INDIRECT(ADDRESS(CD10+CE9,13))),"")</f>
        <v/>
      </c>
      <c r="CD9" s="6" t="str">
        <f>IFERROR(SMALL(Tabell1345[[BruddKode ]],CK9-1),"")</f>
        <v/>
      </c>
      <c r="CE9" s="6" t="str">
        <f>IFERROR(IF(CD10+1=(ROW(Tabell1345[#All])+ROWS(Tabell1345[#All])),0,-1),"")</f>
        <v/>
      </c>
      <c r="CI9" s="8"/>
      <c r="CJ9" s="8" t="s">
        <v>30</v>
      </c>
      <c r="CK9" s="8">
        <v>7</v>
      </c>
      <c r="CL9" s="8"/>
      <c r="CM9" s="8" t="str">
        <f t="shared" ca="1" si="3"/>
        <v/>
      </c>
      <c r="CN9" s="8" t="str">
        <f t="shared" ca="1" si="4"/>
        <v/>
      </c>
      <c r="CO9" s="8"/>
    </row>
    <row r="10" spans="1:93" s="6" customFormat="1" ht="12.65" customHeight="1" x14ac:dyDescent="0.35">
      <c r="F10"/>
      <c r="G10"/>
      <c r="BH10" s="7"/>
      <c r="BI10" s="7"/>
      <c r="BJ10" s="7"/>
      <c r="BK10" s="7"/>
      <c r="BU10" s="20" t="str">
        <f ca="1">IF(BV11&lt;&gt;"",CJ10,IF(ISNUMBER(BV10),$CJ$10,""))</f>
        <v/>
      </c>
      <c r="BV10" s="6" t="str">
        <f t="shared" ca="1" si="0"/>
        <v/>
      </c>
      <c r="BW10" s="6" t="str">
        <f ca="1">IF(BV11&lt;&gt;"",CK10,IF(ISNUMBER(BV10),MAXA($BW$3:BW9),""))</f>
        <v/>
      </c>
      <c r="BX10" s="6">
        <f ca="1">IF(BV11&lt;&gt;"",BV11,ROW(Tabell1345[#All])+ROWS(Tabell1345[#All]))</f>
        <v>48</v>
      </c>
      <c r="BY10" s="21" t="str">
        <f ca="1">IFERROR(AVERAGE(INDIRECT(ADDRESS(CD10,66)):INDIRECT(ADDRESS(CD11+CE10,66))),IF(BV10&lt;&gt;"",BY9,""))</f>
        <v/>
      </c>
      <c r="BZ10" s="21" t="str">
        <f ca="1">IFERROR(MEDIAN(INDIRECT(ADDRESS(CD10,66)):INDIRECT(ADDRESS(CD11+CE10,66))),IF(BV10&lt;&gt;"",BZ9,""))</f>
        <v/>
      </c>
      <c r="CA10" s="21" t="str">
        <f t="shared" ca="1" si="1"/>
        <v/>
      </c>
      <c r="CB10" s="22" t="str">
        <f t="shared" ca="1" si="2"/>
        <v/>
      </c>
      <c r="CC10" s="21" t="str">
        <f ca="1">IFERROR(AVERAGE(INDIRECT(ADDRESS(CD10,13)):INDIRECT(ADDRESS(CD11+CE10,13))),"")</f>
        <v/>
      </c>
      <c r="CD10" s="6" t="str">
        <f>IFERROR(SMALL(Tabell1345[[BruddKode ]],CK10-1),"")</f>
        <v/>
      </c>
      <c r="CE10" s="6" t="str">
        <f>IFERROR(IF(CD11+1=(ROW(Tabell1345[#All])+ROWS(Tabell1345[#All])),0,-1),"")</f>
        <v/>
      </c>
      <c r="CI10" s="8"/>
      <c r="CJ10" s="8" t="s">
        <v>31</v>
      </c>
      <c r="CK10" s="8">
        <v>8</v>
      </c>
      <c r="CL10" s="8"/>
      <c r="CM10" s="8"/>
      <c r="CN10" s="8"/>
      <c r="CO10" s="8"/>
    </row>
    <row r="11" spans="1:93" s="6" customFormat="1" ht="12.65" customHeight="1" x14ac:dyDescent="0.3">
      <c r="BH11" s="7"/>
      <c r="BI11" s="7"/>
      <c r="BJ11" s="7"/>
      <c r="BK11" s="7"/>
      <c r="BU11" s="20"/>
      <c r="BV11" s="6" t="str">
        <f t="shared" ca="1" si="0"/>
        <v/>
      </c>
      <c r="BZ11" s="21" t="str">
        <f ca="1">IFERROR(MEDIAN(INDIRECT(ADDRESS(CD11,3)):INDIRECT(ADDRESS(CD12+CE11,3))),IF(BV11&lt;&gt;"",BZ10,""))</f>
        <v/>
      </c>
      <c r="CB11" s="23"/>
      <c r="CC11" s="21" t="str">
        <f ca="1">IFERROR(AVERAGE(INDIRECT(ADDRESS(CD11,13)):INDIRECT(ADDRESS(CD12+CE11,13))),"")</f>
        <v/>
      </c>
      <c r="CD11" s="6" t="str">
        <f>IFERROR(SMALL(Tabell1345[[BruddKode ]],CK11-1),"")</f>
        <v/>
      </c>
      <c r="CE11" s="6" t="str">
        <f>IFERROR(IF(CD12+1=(ROW(Tabell1345[#All])+ROWS(Tabell1345[#All])),0,-1),"")</f>
        <v/>
      </c>
      <c r="CI11" s="8"/>
      <c r="CJ11" s="8"/>
      <c r="CK11" s="8"/>
      <c r="CL11" s="8"/>
      <c r="CM11" s="8"/>
      <c r="CN11" s="8"/>
      <c r="CO11" s="8"/>
    </row>
    <row r="12" spans="1:93" s="6" customFormat="1" ht="12.65" customHeight="1" x14ac:dyDescent="0.3">
      <c r="BH12" s="7"/>
      <c r="BI12" s="7"/>
      <c r="BJ12" s="7"/>
      <c r="BK12" s="7"/>
      <c r="BU12" s="24" t="s">
        <v>32</v>
      </c>
      <c r="BV12" s="25">
        <f>COUNTIF(Tabell1345[[#All],[Brudd]],"*~**")</f>
        <v>1</v>
      </c>
      <c r="BW12" s="26" t="str">
        <f>IF(BV12&gt;6,"Feil! Kan ikke vise flere enn seks brudd. ","")</f>
        <v/>
      </c>
      <c r="BX12" s="26"/>
      <c r="BY12" s="26" t="str">
        <f>IF(CA12&gt;0,CA12&amp; " punkter mangler data. ","")</f>
        <v/>
      </c>
      <c r="BZ12" s="26" t="str">
        <f>BW12&amp;BY12</f>
        <v/>
      </c>
      <c r="CA12" s="27">
        <f>COUNTIF(Tabell1345[[#All],[Verdi]],"")+COUNTIF(Tabell1345[[#All],[Verdi]],NA())</f>
        <v>0</v>
      </c>
      <c r="CB12" s="28"/>
      <c r="CD12" s="6" t="str">
        <f>IFERROR(SMALL(Tabell1345[[BruddKode ]],CK12-1),"")</f>
        <v/>
      </c>
      <c r="CI12" s="8"/>
      <c r="CJ12" s="8"/>
      <c r="CK12" s="8"/>
      <c r="CL12" s="8" t="s">
        <v>33</v>
      </c>
      <c r="CM12" s="8" t="str">
        <f ca="1">G5&amp;" | "&amp;CM3&amp;CM4&amp;CM5&amp;CM6&amp;CM7&amp;CM8&amp;CM9</f>
        <v>I-diagram | Gjennomsnitt 1: 54,58, UCL 91,34, LCL 17,83    |    Gjennomsnitt 2: 42,7, UCL 86,38, LCL -0,98</v>
      </c>
      <c r="CN12" s="8" t="str">
        <f ca="1">G6&amp;" | "&amp;CN3&amp;CN4&amp;CN5&amp;CN6&amp;CN7&amp;CN8&amp;CN9</f>
        <v xml:space="preserve">Run-diagram | Median 1: 51,5    |    Median 2: 40,5 </v>
      </c>
      <c r="CO12" s="8"/>
    </row>
    <row r="13" spans="1:93" ht="11.25" customHeight="1" x14ac:dyDescent="0.35">
      <c r="CL13" s="3" t="s">
        <v>34</v>
      </c>
      <c r="CM13" s="3" t="str">
        <f ca="1">BZ12&amp;" "&amp;IF(G7&lt;&gt;"",G7,CM12)</f>
        <v xml:space="preserve"> I-diagram | Gjennomsnitt 1: 54,58, UCL 91,34, LCL 17,83    |    Gjennomsnitt 2: 42,7, UCL 86,38, LCL -0,98</v>
      </c>
      <c r="CN13" s="3" t="str">
        <f ca="1">BZ12&amp;" "&amp;IF(G7&lt;&gt;"",G7,CN12)</f>
        <v xml:space="preserve"> Run-diagram | Median 1: 51,5    |    Median 2: 40,5 </v>
      </c>
    </row>
    <row r="14" spans="1:93" x14ac:dyDescent="0.35">
      <c r="A14" t="s">
        <v>35</v>
      </c>
      <c r="B14" t="s">
        <v>36</v>
      </c>
      <c r="C14" t="s">
        <v>37</v>
      </c>
      <c r="D14" t="s">
        <v>38</v>
      </c>
      <c r="E14" t="s">
        <v>39</v>
      </c>
      <c r="F14" t="s">
        <v>40</v>
      </c>
      <c r="G14" t="s">
        <v>41</v>
      </c>
      <c r="H14" t="s">
        <v>42</v>
      </c>
      <c r="I14" t="s">
        <v>43</v>
      </c>
      <c r="J14" t="s">
        <v>44</v>
      </c>
      <c r="K14" t="s">
        <v>7</v>
      </c>
      <c r="L14" t="s">
        <v>6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  <c r="X14" t="s">
        <v>56</v>
      </c>
      <c r="Y14" t="s">
        <v>57</v>
      </c>
      <c r="Z14" t="s">
        <v>58</v>
      </c>
      <c r="AA14" t="s">
        <v>59</v>
      </c>
      <c r="AB14" t="s">
        <v>60</v>
      </c>
      <c r="AC14" t="s">
        <v>61</v>
      </c>
      <c r="AD14" t="s">
        <v>62</v>
      </c>
      <c r="AE14" t="s">
        <v>63</v>
      </c>
      <c r="AF14" t="s">
        <v>64</v>
      </c>
      <c r="AG14" t="s">
        <v>65</v>
      </c>
      <c r="AH14" t="s">
        <v>66</v>
      </c>
      <c r="AI14" t="s">
        <v>67</v>
      </c>
      <c r="AJ14" t="s">
        <v>68</v>
      </c>
      <c r="AK14" t="s">
        <v>69</v>
      </c>
      <c r="AL14" t="s">
        <v>70</v>
      </c>
      <c r="AM14" t="s">
        <v>71</v>
      </c>
      <c r="AN14" t="s">
        <v>72</v>
      </c>
      <c r="AO14" t="s">
        <v>73</v>
      </c>
      <c r="AP14" t="s">
        <v>74</v>
      </c>
      <c r="AQ14" t="s">
        <v>75</v>
      </c>
      <c r="AR14" t="s">
        <v>76</v>
      </c>
      <c r="AS14" t="s">
        <v>77</v>
      </c>
      <c r="AT14" t="s">
        <v>78</v>
      </c>
      <c r="AU14" t="s">
        <v>79</v>
      </c>
      <c r="AV14" t="s">
        <v>80</v>
      </c>
      <c r="AW14" t="s">
        <v>81</v>
      </c>
      <c r="AX14" t="s">
        <v>82</v>
      </c>
      <c r="AY14" t="s">
        <v>83</v>
      </c>
      <c r="AZ14" t="s">
        <v>84</v>
      </c>
      <c r="BA14" t="s">
        <v>85</v>
      </c>
      <c r="BB14" t="s">
        <v>86</v>
      </c>
      <c r="BC14" t="s">
        <v>87</v>
      </c>
      <c r="BD14" t="s">
        <v>88</v>
      </c>
      <c r="BE14" t="s">
        <v>89</v>
      </c>
      <c r="BF14" t="s">
        <v>90</v>
      </c>
      <c r="BG14" t="s">
        <v>91</v>
      </c>
      <c r="BH14" s="5" t="s">
        <v>92</v>
      </c>
      <c r="BI14" s="5" t="s">
        <v>93</v>
      </c>
      <c r="BJ14" s="5" t="s">
        <v>94</v>
      </c>
      <c r="BK14" s="5" t="s">
        <v>95</v>
      </c>
      <c r="BL14" t="s">
        <v>96</v>
      </c>
      <c r="BM14" t="s">
        <v>97</v>
      </c>
      <c r="BN14" t="s">
        <v>98</v>
      </c>
      <c r="BO14" t="s">
        <v>99</v>
      </c>
      <c r="BP14" t="s">
        <v>100</v>
      </c>
      <c r="BQ14" t="s">
        <v>101</v>
      </c>
      <c r="BR14" t="s">
        <v>102</v>
      </c>
      <c r="BS14" t="s">
        <v>103</v>
      </c>
      <c r="BU14" s="29" t="s">
        <v>104</v>
      </c>
    </row>
    <row r="15" spans="1:93" x14ac:dyDescent="0.35">
      <c r="A15">
        <f ca="1">IF(ISNUMBER(OFFSET(Tabell1345[[#This Row],[Nr]],-1,0)),OFFSET(Tabell1345[[#This Row],[Nr]],-1,0))+1</f>
        <v>1</v>
      </c>
      <c r="C15" s="36">
        <v>52</v>
      </c>
      <c r="D15" s="37"/>
      <c r="H15" t="e">
        <f t="shared" ref="H15" si="5">IF($B$6&lt;&gt;"",$B$6,NA())</f>
        <v>#N/A</v>
      </c>
      <c r="I15" t="b">
        <f>IF(OR(Tabell1345[[#This Row],[Brudd]]="*",ROW()-ROW(Tabell1345[#All])+1=ROWS(Tabell1345[#All])),ROW())</f>
        <v>0</v>
      </c>
      <c r="J15" s="2">
        <f ca="1">VLOOKUP(Tabell1345[[#This Row],[Nr]],$BV$2:$CB$11,4,TRUE)</f>
        <v>54.583333333333336</v>
      </c>
      <c r="K15" s="2">
        <f ca="1">VLOOKUP(Tabell1345[[#This Row],[Nr]],$BV$2:$CB$11,7,TRUE)</f>
        <v>17.826969696969698</v>
      </c>
      <c r="L15" s="2">
        <f ca="1">VLOOKUP(Tabell1345[[#This Row],[Nr]],$BV$2:$CB$11,6,TRUE)</f>
        <v>91.339696969696973</v>
      </c>
      <c r="M15" t="str">
        <f ca="1">IF(OR(Tabell1345[[#This Row],[Brudd]]="*",ISERROR(Tabell1345[[#This Row],[Verdi_korrigert_IT]])),"",IF(ISNUMBER(OFFSET(Tabell1345[[#This Row],[ForrigeGyldige]],-1,0)),ABS(Tabell1345[[#This Row],[Verdi_korrigert_IT]]-OFFSET(Tabell1345[[#This Row],[ForrigeGyldige]],-1,0)),""))</f>
        <v/>
      </c>
      <c r="N15">
        <f ca="1">IF(VLOOKUP(Tabell1345[[#This Row],[Nr]],$BV$3:$CB$11,2,TRUE)=1,VLOOKUP(Tabell1345[[#This Row],[Nr]],$BV$3:$CB$11,4,TRUE),NA())</f>
        <v>54.583333333333336</v>
      </c>
      <c r="O15" t="e">
        <f ca="1">IF(VLOOKUP(Tabell1345[[#This Row],[Nr]],$BV$3:$CB$11,2,TRUE)=2,VLOOKUP(Tabell1345[[#This Row],[Nr]],$BV$3:$CB$11,4,TRUE),NA())</f>
        <v>#N/A</v>
      </c>
      <c r="P15" s="2" t="e">
        <f ca="1">IF(VLOOKUP(Tabell1345[[#This Row],[Nr]],$BV$3:$CB$11,2,TRUE)=3,VLOOKUP(Tabell1345[[#This Row],[Nr]],$BV$3:$CB$11,4,TRUE),NA())</f>
        <v>#N/A</v>
      </c>
      <c r="Q15" t="e">
        <f ca="1">IF(VLOOKUP(Tabell1345[[#This Row],[Nr]],$BV$3:$CB$11,2,TRUE)=4,VLOOKUP(Tabell1345[[#This Row],[Nr]],$BV$3:$CB$11,4,TRUE),NA())</f>
        <v>#N/A</v>
      </c>
      <c r="R15" t="e">
        <f ca="1">IF(VLOOKUP(Tabell1345[[#This Row],[Nr]],$BV$3:$CB$11,2,TRUE)=5,VLOOKUP(Tabell1345[[#This Row],[Nr]],$BV$3:$CB$11,4,TRUE),NA())</f>
        <v>#N/A</v>
      </c>
      <c r="S15" t="e">
        <f ca="1">IF(VLOOKUP(Tabell1345[[#This Row],[Nr]],$BV$3:$CB$11,2,TRUE)=6,VLOOKUP(Tabell1345[[#This Row],[Nr]],$BV$3:$CB$11,4,TRUE),NA())</f>
        <v>#N/A</v>
      </c>
      <c r="T15" t="e">
        <f ca="1">IF(VLOOKUP(Tabell1345[[#This Row],[Nr]],$BV$3:$CB$11,2,TRUE)=7,VLOOKUP(Tabell1345[[#This Row],[Nr]],$BV$3:$CB$11,4,TRUE),NA())</f>
        <v>#N/A</v>
      </c>
      <c r="U15">
        <f ca="1">IF(VLOOKUP(Tabell1345[[#This Row],[Nr]],$BV$3:$CB$11,2,TRUE)=1,VLOOKUP(Tabell1345[[#This Row],[Nr]],$BV$3:$CB$11,6,TRUE),NA())</f>
        <v>91.339696969696973</v>
      </c>
      <c r="V15" t="e">
        <f ca="1">IF(VLOOKUP(Tabell1345[[#This Row],[Nr]],$BV$3:$CB$11,2,TRUE)=2,VLOOKUP(Tabell1345[[#This Row],[Nr]],$BV$3:$CB$11,6,TRUE),NA())</f>
        <v>#N/A</v>
      </c>
      <c r="W15" t="e">
        <f ca="1">IF(VLOOKUP(Tabell1345[[#This Row],[Nr]],$BV$3:$CB$11,2,TRUE)=3,VLOOKUP(Tabell1345[[#This Row],[Nr]],$BV$3:$CB$11,6,TRUE),NA())</f>
        <v>#N/A</v>
      </c>
      <c r="X15" t="e">
        <f ca="1">IF(VLOOKUP(Tabell1345[[#This Row],[Nr]],$BV$3:$CB$11,2,TRUE)=4,VLOOKUP(Tabell1345[[#This Row],[Nr]],$BV$3:$CB$11,6,TRUE),NA())</f>
        <v>#N/A</v>
      </c>
      <c r="Y15" t="e">
        <f ca="1">IF(VLOOKUP(Tabell1345[[#This Row],[Nr]],$BV$3:$CB$11,2,TRUE)=5,VLOOKUP(Tabell1345[[#This Row],[Nr]],$BV$3:$CB$11,6,TRUE),NA())</f>
        <v>#N/A</v>
      </c>
      <c r="Z15" t="e">
        <f ca="1">IF(VLOOKUP(Tabell1345[[#This Row],[Nr]],$BV$3:$CB$11,2,TRUE)=6,VLOOKUP(Tabell1345[[#This Row],[Nr]],$BV$3:$CB$11,6,TRUE),NA())</f>
        <v>#N/A</v>
      </c>
      <c r="AA15" t="e">
        <f ca="1">IF(VLOOKUP(Tabell1345[[#This Row],[Nr]],$BV$3:$CB$11,2,TRUE)=7,VLOOKUP(Tabell1345[[#This Row],[Nr]],$BV$3:$CB$11,6,TRUE),NA())</f>
        <v>#N/A</v>
      </c>
      <c r="AB15">
        <f ca="1">IF(VLOOKUP(Tabell1345[[#This Row],[Nr]],$BV$3:$CB$11,2,TRUE)=1,VLOOKUP(Tabell1345[[#This Row],[Nr]],$BV$3:$CB$11,7,TRUE),NA())</f>
        <v>17.826969696969698</v>
      </c>
      <c r="AC15" t="e">
        <f ca="1">IF(VLOOKUP(Tabell1345[[#This Row],[Nr]],$BV$3:$CB$11,2,TRUE)=2,VLOOKUP(Tabell1345[[#This Row],[Nr]],$BV$3:$CB$11,7,TRUE),NA())</f>
        <v>#N/A</v>
      </c>
      <c r="AD15" t="e">
        <f ca="1">IF(VLOOKUP(Tabell1345[[#This Row],[Nr]],$BV$3:$CB$11,2,TRUE)=3,VLOOKUP(Tabell1345[[#This Row],[Nr]],$BV$3:$CB$11,7,TRUE),NA())</f>
        <v>#N/A</v>
      </c>
      <c r="AE15" t="e">
        <f ca="1">IF(VLOOKUP(Tabell1345[[#This Row],[Nr]],$BV$3:$CB$11,2,TRUE)=4,VLOOKUP(Tabell1345[[#This Row],[Nr]],$BV$3:$CB$11,7,TRUE),NA())</f>
        <v>#N/A</v>
      </c>
      <c r="AF15" t="e">
        <f ca="1">IF(VLOOKUP(Tabell1345[[#This Row],[Nr]],$BV$3:$CB$11,2,TRUE)=5,VLOOKUP(Tabell1345[[#This Row],[Nr]],$BV$3:$CB$11,7,TRUE),NA())</f>
        <v>#N/A</v>
      </c>
      <c r="AG15" t="e">
        <f ca="1">IF(VLOOKUP(Tabell1345[[#This Row],[Nr]],$BV$3:$CB$11,2,TRUE)=6,VLOOKUP(Tabell1345[[#This Row],[Nr]],$BV$3:$CB$11,7,TRUE),NA())</f>
        <v>#N/A</v>
      </c>
      <c r="AH15" t="e">
        <f ca="1">IF(VLOOKUP(Tabell1345[[#This Row],[Nr]],$BV$3:$CB$11,2,TRUE)=7,VLOOKUP(Tabell1345[[#This Row],[Nr]],$BV$3:$CB$11,7,TRUE),NA())</f>
        <v>#N/A</v>
      </c>
      <c r="AI15">
        <f ca="1">IF(VLOOKUP(Tabell1345[[#This Row],[Nr]],$BV$3:$CB$11,2,TRUE)=1,VLOOKUP(Tabell1345[[#This Row],[Nr]],$BV$3:$CB$11,5,TRUE),NA())</f>
        <v>51.5</v>
      </c>
      <c r="AJ15" t="e">
        <f ca="1">IF(VLOOKUP(Tabell1345[[#This Row],[Nr]],$BV$3:$CB$11,2,TRUE)=2,VLOOKUP(Tabell1345[[#This Row],[Nr]],$BV$3:$CB$11,5,TRUE),NA())</f>
        <v>#N/A</v>
      </c>
      <c r="AK15" t="e">
        <f ca="1">IF(VLOOKUP(Tabell1345[[#This Row],[Nr]],$BV$3:$CB$11,2,TRUE)=3,VLOOKUP(Tabell1345[[#This Row],[Nr]],$BV$3:$CB$11,5,TRUE),NA())</f>
        <v>#N/A</v>
      </c>
      <c r="AL15" t="e">
        <f ca="1">IF(VLOOKUP(Tabell1345[[#This Row],[Nr]],$BV$3:$CB$11,2,TRUE)=4,VLOOKUP(Tabell1345[[#This Row],[Nr]],$BV$3:$CB$11,5,TRUE),NA())</f>
        <v>#N/A</v>
      </c>
      <c r="AM15" t="e">
        <f ca="1">IF(VLOOKUP(Tabell1345[[#This Row],[Nr]],$BV$3:$CB$11,2,TRUE)=5,VLOOKUP(Tabell1345[[#This Row],[Nr]],$BV$3:$CB$11,5,TRUE),NA())</f>
        <v>#N/A</v>
      </c>
      <c r="AN15" t="e">
        <f ca="1">IF(VLOOKUP(Tabell1345[[#This Row],[Nr]],$BV$3:$CB$11,2,TRUE)=6,VLOOKUP(Tabell1345[[#This Row],[Nr]],$BV$3:$CB$11,5,TRUE),NA())</f>
        <v>#N/A</v>
      </c>
      <c r="AO15" t="e">
        <f ca="1">IF(VLOOKUP(Tabell1345[[#This Row],[Nr]],$BV$3:$CB$11,2,TRUE)=7,VLOOKUP(Tabell1345[[#This Row],[Nr]],$BV$3:$CB$11,5,TRUE),NA())</f>
        <v>#N/A</v>
      </c>
      <c r="AP15">
        <f ca="1">IF(VLOOKUP(Tabell1345[[#This Row],[Nr]],$BV$3:$CB$11,2,TRUE)=1,Tabell1345[[#This Row],[Verdi_korrigert_IT]],NA())</f>
        <v>52</v>
      </c>
      <c r="AQ15" t="e">
        <f ca="1">IF(VLOOKUP(Tabell1345[[#This Row],[Nr]],$BV$3:$CB$11,2,TRUE)=2,Tabell1345[[#This Row],[Verdi_korrigert_IT]],NA())</f>
        <v>#N/A</v>
      </c>
      <c r="AR15" t="e">
        <f ca="1">IF(VLOOKUP(Tabell1345[[#This Row],[Nr]],$BV$3:$CB$11,2,TRUE)=3,Tabell1345[[#This Row],[Verdi_korrigert_IT]],NA())</f>
        <v>#N/A</v>
      </c>
      <c r="AS15" t="e">
        <f ca="1">IF(VLOOKUP(Tabell1345[[#This Row],[Nr]],$BV$3:$CB$11,2,TRUE)=4,Tabell1345[[#This Row],[Verdi_korrigert_IT]],NA())</f>
        <v>#N/A</v>
      </c>
      <c r="AT15" t="e">
        <f ca="1">IF(VLOOKUP(Tabell1345[[#This Row],[Nr]],$BV$3:$CB$11,2,TRUE)=5,Tabell1345[[#This Row],[Verdi_korrigert_IT]],NA())</f>
        <v>#N/A</v>
      </c>
      <c r="AU15" t="e">
        <f ca="1">IF(VLOOKUP(Tabell1345[[#This Row],[Nr]],$BV$3:$CB$11,2,TRUE)=6,Tabell1345[[#This Row],[Verdi_korrigert_IT]],NA())</f>
        <v>#N/A</v>
      </c>
      <c r="AV15" t="e">
        <f ca="1">IF(VLOOKUP(Tabell1345[[#This Row],[Nr]],$BV$3:$CB$11,2,TRUE)=7,Tabell1345[[#This Row],[Verdi_korrigert_IT]],NA())</f>
        <v>#N/A</v>
      </c>
      <c r="AW15">
        <f ca="1">IF(Tabell1345[[#This Row],[Brudd]]&lt;&gt;"*",IF(ISNUMBER(OFFSET(Tabell1345[[#This Row],[ser_indeks]],-1,0)),OFFSET(Tabell1345[[#This Row],[ser_indeks]],-1,0),0),0)+1</f>
        <v>1</v>
      </c>
      <c r="AX15">
        <f ca="1">VLOOKUP(Tabell1345[[#This Row],[Nr]],$BV$2:$BW$9,2,TRUE)</f>
        <v>1</v>
      </c>
      <c r="AY15">
        <f ca="1">IF(OFFSET(Tabell1345[[#This Row],[ser_indeks]],1,0)&lt;Tabell1345[[#This Row],[ser_indeks]],1,0)</f>
        <v>0</v>
      </c>
      <c r="AZ15">
        <f ca="1">IFERROR(VALUE(Tabell1345[[#This Row],[Verdi_korrigert_IT]]),OFFSET(Tabell1345[[#This Row],[verdi_korrigert]],-1,0))</f>
        <v>52</v>
      </c>
      <c r="BA15">
        <f ca="1">_xlfn.RANK.AVG(Tabell1345[[#This Row],[verdi_korrigert]],Tabell1345[verdi_korrigert],1)</f>
        <v>24</v>
      </c>
      <c r="BB15">
        <f ca="1">IF(Tabell1345[[#This Row],[rang]]=OFFSET(Tabell1345[[#This Row],[rang]],1,0),1,0)</f>
        <v>0</v>
      </c>
      <c r="BC15">
        <f ca="1">IF(AND(Tabell1345[[#This Row],[rang]]&gt;=OFFSET(Tabell1345[[#This Row],[rang]],-1,0),Tabell1345[[#This Row],[ser_indeks]]&gt;1),IFERROR(VALUE(OFFSET(Tabell1345[[#This Row],[rang_stig]],-1,0)),0)+1,VALUE($CH$3)-1)-Tabell1345[[#This Row],[rang_samme]]</f>
        <v>0</v>
      </c>
      <c r="BD15">
        <f ca="1">IF(AND(Tabell1345[[#This Row],[rang]]&lt;=OFFSET(Tabell1345[[#This Row],[rang]],-1,0),Tabell1345[[#This Row],[ser_indeks]]&gt;1),IFERROR(VALUE(OFFSET(Tabell1345[[#This Row],[rang_synk]],-1,0)),0)+1,VALUE($CH$3)-1)-Tabell1345[[#This Row],[rang_samme]]</f>
        <v>0</v>
      </c>
      <c r="BE15">
        <f ca="1">MAXA(Tabell1345[[#This Row],[rang_stig]:[rang_synk]])</f>
        <v>0</v>
      </c>
      <c r="BF15">
        <f ca="1">($CH$2-1)+_xlfn.AGGREGATE(9,6,Tabell1345[[#This Row],[rang_samme]]:OFFSET(Tabell1345[[#This Row],[rang_samme]],($CH$2-1),0))</f>
        <v>5</v>
      </c>
      <c r="BG15" t="e">
        <f ca="1">IF($G$9="ja",IF(MAXA(Tabell1345[[#This Row],[rang_stigsynk]]:INDIRECT(ADDRESS(ROW(Tabell1345[[#This Row],[rang_stigsynk]])+Tabell1345[[#This Row],[trend_omr]],COLUMN(Tabell1345[[#This Row],[rang_stigsynk]]))))&gt;($CH$2-2),Tabell1345[[#This Row],[Verdi_korrigert_IT]],NA()),NA())</f>
        <v>#N/A</v>
      </c>
      <c r="BH15" s="5" t="e">
        <f ca="1">IF(Tabell1345[[#This Row],[ser_indeks]]&gt;3,_xlfn.AGGREGATE(4,4,OFFSET(Tabell1345[[#This Row],[Verdi1]],-3,Tabell1345[[#This Row],[serie_nr]]-1):OFFSET(Tabell1345[[#This Row],[Verdi1]],4,Tabell1345[[#This Row],[serie_nr]]-1)),NA())</f>
        <v>#N/A</v>
      </c>
      <c r="BI15" s="5" t="e">
        <f ca="1">IF(Tabell1345[[#This Row],[ser_indeks]]&gt;3,_xlfn.AGGREGATE(5,4,OFFSET(Tabell1345[[#This Row],[Verdi1]],-3,Tabell1345[[#This Row],[serie_nr]]-1):OFFSET(Tabell1345[[#This Row],[Verdi1]],4,Tabell1345[[#This Row],[serie_nr]]-1)),NA())</f>
        <v>#N/A</v>
      </c>
      <c r="BJ15" s="5" t="e">
        <f ca="1">IF(_xlfn.AGGREGATE(4,6,Tabell1345[[#This Row],[til_brudd_rader]]:OFFSET(Tabell1345[[#This Row],[til_brudd_rader]],3,0))&gt;0,NA(),IF(Tabell1345[[#This Row],[skifte_lav1]]&lt;Tabell1345[[#This Row],[Snitt]],Tabell1345[[#This Row],[Verdi_korrigert_IT]],NA()))</f>
        <v>#N/A</v>
      </c>
      <c r="BK15" s="5" t="e">
        <f ca="1">IF(_xlfn.AGGREGATE(4,6,Tabell1345[[#This Row],[til_brudd_rader]]:OFFSET(Tabell1345[[#This Row],[til_brudd_rader]],3,0))&gt;0,NA(),IF(Tabell1345[[#This Row],[skifte_høy1]]&gt;Tabell1345[[#This Row],[Snitt]],Tabell1345[[#This Row],[Verdi_korrigert_IT]],NA()))</f>
        <v>#N/A</v>
      </c>
      <c r="BL15">
        <f ca="1">IF($G$9="ja",IFERROR(IF(_xlfn.AGGREGATE(4,6,OFFSET(Tabell1345[[#This Row],[skifte_lav2]],-4,0):OFFSET(Tabell1345[[#This Row],[skifte_lav2]],3,1))&gt;0,Tabell1345[[#This Row],[Verdi_korrigert_IT]],NA()),NA()),NA())</f>
        <v>52</v>
      </c>
      <c r="BM15" t="e">
        <f ca="1">IF($G$9="ja",IF(OR(Tabell1345[[#This Row],[Verdi_korrigert_IT]]&gt;Tabell1345[[#This Row],[UCL]],Tabell1345[[#This Row],[Verdi_korrigert_IT]]&lt;Tabell1345[[#This Row],[LCL]]),Tabell1345[[#This Row],[Verdi_korrigert_IT]],NA()),NA())</f>
        <v>#N/A</v>
      </c>
      <c r="BN15">
        <f>IF(Tabell1345[[#This Row],[Brudd]]="x","",Tabell1345[[#This Row],[Verdi]])</f>
        <v>52</v>
      </c>
      <c r="BO15">
        <f>IF(Tabell1345[[#This Row],[Brudd]]="x",NA(),Tabell1345[[#This Row],[Verdi]])</f>
        <v>52</v>
      </c>
      <c r="BP15">
        <f ca="1">IF(ISERROR(Tabell1345[[#This Row],[Verdi_korrigert_IT]]),OFFSET(Tabell1345[[#This Row],[ForrigeGyldige]],-1,0),Tabell1345[[#This Row],[Verdi]])</f>
        <v>52</v>
      </c>
      <c r="BQ15">
        <f>Tabell1345[[#This Row],[Verdi]]</f>
        <v>52</v>
      </c>
    </row>
    <row r="16" spans="1:93" x14ac:dyDescent="0.35">
      <c r="A16">
        <f ca="1">IF(ISNUMBER(OFFSET(Tabell1345[[#This Row],[Nr]],-1,0)),OFFSET(Tabell1345[[#This Row],[Nr]],-1,0))+1</f>
        <v>2</v>
      </c>
      <c r="C16" s="36">
        <v>48</v>
      </c>
      <c r="H16" t="e">
        <f t="shared" ref="H16:H33" si="6">IF($B$6&lt;&gt;"",$B$6,NA())</f>
        <v>#N/A</v>
      </c>
      <c r="I16" t="b">
        <f>IF(OR(Tabell1345[[#This Row],[Brudd]]="*",ROW()-ROW(Tabell1345[#All])+1=ROWS(Tabell1345[#All])),ROW())</f>
        <v>0</v>
      </c>
      <c r="J16" s="2">
        <f ca="1">VLOOKUP(Tabell1345[[#This Row],[Nr]],$BV$2:$CB$11,4,TRUE)</f>
        <v>54.583333333333336</v>
      </c>
      <c r="K16" s="2">
        <f ca="1">VLOOKUP(Tabell1345[[#This Row],[Nr]],$BV$2:$CB$11,7,TRUE)</f>
        <v>17.826969696969698</v>
      </c>
      <c r="L16" s="2">
        <f ca="1">VLOOKUP(Tabell1345[[#This Row],[Nr]],$BV$2:$CB$11,6,TRUE)</f>
        <v>91.339696969696973</v>
      </c>
      <c r="M16">
        <f ca="1">IF(OR(Tabell1345[[#This Row],[Brudd]]="*",ISERROR(Tabell1345[[#This Row],[Verdi_korrigert_IT]])),"",IF(ISNUMBER(OFFSET(Tabell1345[[#This Row],[ForrigeGyldige]],-1,0)),ABS(Tabell1345[[#This Row],[Verdi_korrigert_IT]]-OFFSET(Tabell1345[[#This Row],[ForrigeGyldige]],-1,0)),""))</f>
        <v>4</v>
      </c>
      <c r="N16">
        <f ca="1">IF(VLOOKUP(Tabell1345[[#This Row],[Nr]],$BV$3:$CB$11,2,TRUE)=1,VLOOKUP(Tabell1345[[#This Row],[Nr]],$BV$3:$CB$11,4,TRUE),NA())</f>
        <v>54.583333333333336</v>
      </c>
      <c r="O16" t="e">
        <f ca="1">IF(VLOOKUP(Tabell1345[[#This Row],[Nr]],$BV$3:$CB$11,2,TRUE)=2,VLOOKUP(Tabell1345[[#This Row],[Nr]],$BV$3:$CB$11,4,TRUE),NA())</f>
        <v>#N/A</v>
      </c>
      <c r="P16" s="2" t="e">
        <f ca="1">IF(VLOOKUP(Tabell1345[[#This Row],[Nr]],$BV$3:$CB$11,2,TRUE)=3,VLOOKUP(Tabell1345[[#This Row],[Nr]],$BV$3:$CB$11,4,TRUE),NA())</f>
        <v>#N/A</v>
      </c>
      <c r="Q16" t="e">
        <f ca="1">IF(VLOOKUP(Tabell1345[[#This Row],[Nr]],$BV$3:$CB$11,2,TRUE)=4,VLOOKUP(Tabell1345[[#This Row],[Nr]],$BV$3:$CB$11,4,TRUE),NA())</f>
        <v>#N/A</v>
      </c>
      <c r="R16" t="e">
        <f ca="1">IF(VLOOKUP(Tabell1345[[#This Row],[Nr]],$BV$3:$CB$11,2,TRUE)=5,VLOOKUP(Tabell1345[[#This Row],[Nr]],$BV$3:$CB$11,4,TRUE),NA())</f>
        <v>#N/A</v>
      </c>
      <c r="S16" t="e">
        <f ca="1">IF(VLOOKUP(Tabell1345[[#This Row],[Nr]],$BV$3:$CB$11,2,TRUE)=6,VLOOKUP(Tabell1345[[#This Row],[Nr]],$BV$3:$CB$11,4,TRUE),NA())</f>
        <v>#N/A</v>
      </c>
      <c r="T16" t="e">
        <f ca="1">IF(VLOOKUP(Tabell1345[[#This Row],[Nr]],$BV$3:$CB$11,2,TRUE)=7,VLOOKUP(Tabell1345[[#This Row],[Nr]],$BV$3:$CB$11,4,TRUE),NA())</f>
        <v>#N/A</v>
      </c>
      <c r="U16">
        <f ca="1">IF(VLOOKUP(Tabell1345[[#This Row],[Nr]],$BV$3:$CB$11,2,TRUE)=1,VLOOKUP(Tabell1345[[#This Row],[Nr]],$BV$3:$CB$11,6,TRUE),NA())</f>
        <v>91.339696969696973</v>
      </c>
      <c r="V16" t="e">
        <f ca="1">IF(VLOOKUP(Tabell1345[[#This Row],[Nr]],$BV$3:$CB$11,2,TRUE)=2,VLOOKUP(Tabell1345[[#This Row],[Nr]],$BV$3:$CB$11,6,TRUE),NA())</f>
        <v>#N/A</v>
      </c>
      <c r="W16" t="e">
        <f ca="1">IF(VLOOKUP(Tabell1345[[#This Row],[Nr]],$BV$3:$CB$11,2,TRUE)=3,VLOOKUP(Tabell1345[[#This Row],[Nr]],$BV$3:$CB$11,6,TRUE),NA())</f>
        <v>#N/A</v>
      </c>
      <c r="X16" t="e">
        <f ca="1">IF(VLOOKUP(Tabell1345[[#This Row],[Nr]],$BV$3:$CB$11,2,TRUE)=4,VLOOKUP(Tabell1345[[#This Row],[Nr]],$BV$3:$CB$11,6,TRUE),NA())</f>
        <v>#N/A</v>
      </c>
      <c r="Y16" t="e">
        <f ca="1">IF(VLOOKUP(Tabell1345[[#This Row],[Nr]],$BV$3:$CB$11,2,TRUE)=5,VLOOKUP(Tabell1345[[#This Row],[Nr]],$BV$3:$CB$11,6,TRUE),NA())</f>
        <v>#N/A</v>
      </c>
      <c r="Z16" t="e">
        <f ca="1">IF(VLOOKUP(Tabell1345[[#This Row],[Nr]],$BV$3:$CB$11,2,TRUE)=6,VLOOKUP(Tabell1345[[#This Row],[Nr]],$BV$3:$CB$11,6,TRUE),NA())</f>
        <v>#N/A</v>
      </c>
      <c r="AA16" t="e">
        <f ca="1">IF(VLOOKUP(Tabell1345[[#This Row],[Nr]],$BV$3:$CB$11,2,TRUE)=7,VLOOKUP(Tabell1345[[#This Row],[Nr]],$BV$3:$CB$11,6,TRUE),NA())</f>
        <v>#N/A</v>
      </c>
      <c r="AB16">
        <f ca="1">IF(VLOOKUP(Tabell1345[[#This Row],[Nr]],$BV$3:$CB$11,2,TRUE)=1,VLOOKUP(Tabell1345[[#This Row],[Nr]],$BV$3:$CB$11,7,TRUE),NA())</f>
        <v>17.826969696969698</v>
      </c>
      <c r="AC16" t="e">
        <f ca="1">IF(VLOOKUP(Tabell1345[[#This Row],[Nr]],$BV$3:$CB$11,2,TRUE)=2,VLOOKUP(Tabell1345[[#This Row],[Nr]],$BV$3:$CB$11,7,TRUE),NA())</f>
        <v>#N/A</v>
      </c>
      <c r="AD16" t="e">
        <f ca="1">IF(VLOOKUP(Tabell1345[[#This Row],[Nr]],$BV$3:$CB$11,2,TRUE)=3,VLOOKUP(Tabell1345[[#This Row],[Nr]],$BV$3:$CB$11,7,TRUE),NA())</f>
        <v>#N/A</v>
      </c>
      <c r="AE16" t="e">
        <f ca="1">IF(VLOOKUP(Tabell1345[[#This Row],[Nr]],$BV$3:$CB$11,2,TRUE)=4,VLOOKUP(Tabell1345[[#This Row],[Nr]],$BV$3:$CB$11,7,TRUE),NA())</f>
        <v>#N/A</v>
      </c>
      <c r="AF16" t="e">
        <f ca="1">IF(VLOOKUP(Tabell1345[[#This Row],[Nr]],$BV$3:$CB$11,2,TRUE)=5,VLOOKUP(Tabell1345[[#This Row],[Nr]],$BV$3:$CB$11,7,TRUE),NA())</f>
        <v>#N/A</v>
      </c>
      <c r="AG16" t="e">
        <f ca="1">IF(VLOOKUP(Tabell1345[[#This Row],[Nr]],$BV$3:$CB$11,2,TRUE)=6,VLOOKUP(Tabell1345[[#This Row],[Nr]],$BV$3:$CB$11,7,TRUE),NA())</f>
        <v>#N/A</v>
      </c>
      <c r="AH16" t="e">
        <f ca="1">IF(VLOOKUP(Tabell1345[[#This Row],[Nr]],$BV$3:$CB$11,2,TRUE)=7,VLOOKUP(Tabell1345[[#This Row],[Nr]],$BV$3:$CB$11,7,TRUE),NA())</f>
        <v>#N/A</v>
      </c>
      <c r="AI16">
        <f ca="1">IF(VLOOKUP(Tabell1345[[#This Row],[Nr]],$BV$3:$CB$11,2,TRUE)=1,VLOOKUP(Tabell1345[[#This Row],[Nr]],$BV$3:$CB$11,5,TRUE),NA())</f>
        <v>51.5</v>
      </c>
      <c r="AJ16" t="e">
        <f ca="1">IF(VLOOKUP(Tabell1345[[#This Row],[Nr]],$BV$3:$CB$11,2,TRUE)=2,VLOOKUP(Tabell1345[[#This Row],[Nr]],$BV$3:$CB$11,5,TRUE),NA())</f>
        <v>#N/A</v>
      </c>
      <c r="AK16" t="e">
        <f ca="1">IF(VLOOKUP(Tabell1345[[#This Row],[Nr]],$BV$3:$CB$11,2,TRUE)=3,VLOOKUP(Tabell1345[[#This Row],[Nr]],$BV$3:$CB$11,5,TRUE),NA())</f>
        <v>#N/A</v>
      </c>
      <c r="AL16" t="e">
        <f ca="1">IF(VLOOKUP(Tabell1345[[#This Row],[Nr]],$BV$3:$CB$11,2,TRUE)=4,VLOOKUP(Tabell1345[[#This Row],[Nr]],$BV$3:$CB$11,5,TRUE),NA())</f>
        <v>#N/A</v>
      </c>
      <c r="AM16" t="e">
        <f ca="1">IF(VLOOKUP(Tabell1345[[#This Row],[Nr]],$BV$3:$CB$11,2,TRUE)=5,VLOOKUP(Tabell1345[[#This Row],[Nr]],$BV$3:$CB$11,5,TRUE),NA())</f>
        <v>#N/A</v>
      </c>
      <c r="AN16" t="e">
        <f ca="1">IF(VLOOKUP(Tabell1345[[#This Row],[Nr]],$BV$3:$CB$11,2,TRUE)=6,VLOOKUP(Tabell1345[[#This Row],[Nr]],$BV$3:$CB$11,5,TRUE),NA())</f>
        <v>#N/A</v>
      </c>
      <c r="AO16" t="e">
        <f ca="1">IF(VLOOKUP(Tabell1345[[#This Row],[Nr]],$BV$3:$CB$11,2,TRUE)=7,VLOOKUP(Tabell1345[[#This Row],[Nr]],$BV$3:$CB$11,5,TRUE),NA())</f>
        <v>#N/A</v>
      </c>
      <c r="AP16">
        <f ca="1">IF(VLOOKUP(Tabell1345[[#This Row],[Nr]],$BV$3:$CB$11,2,TRUE)=1,Tabell1345[[#This Row],[Verdi_korrigert_IT]],NA())</f>
        <v>48</v>
      </c>
      <c r="AQ16" t="e">
        <f ca="1">IF(VLOOKUP(Tabell1345[[#This Row],[Nr]],$BV$3:$CB$11,2,TRUE)=2,Tabell1345[[#This Row],[Verdi_korrigert_IT]],NA())</f>
        <v>#N/A</v>
      </c>
      <c r="AR16" t="e">
        <f ca="1">IF(VLOOKUP(Tabell1345[[#This Row],[Nr]],$BV$3:$CB$11,2,TRUE)=3,Tabell1345[[#This Row],[Verdi_korrigert_IT]],NA())</f>
        <v>#N/A</v>
      </c>
      <c r="AS16" t="e">
        <f ca="1">IF(VLOOKUP(Tabell1345[[#This Row],[Nr]],$BV$3:$CB$11,2,TRUE)=4,Tabell1345[[#This Row],[Verdi_korrigert_IT]],NA())</f>
        <v>#N/A</v>
      </c>
      <c r="AT16" t="e">
        <f ca="1">IF(VLOOKUP(Tabell1345[[#This Row],[Nr]],$BV$3:$CB$11,2,TRUE)=5,Tabell1345[[#This Row],[Verdi_korrigert_IT]],NA())</f>
        <v>#N/A</v>
      </c>
      <c r="AU16" t="e">
        <f ca="1">IF(VLOOKUP(Tabell1345[[#This Row],[Nr]],$BV$3:$CB$11,2,TRUE)=6,Tabell1345[[#This Row],[Verdi_korrigert_IT]],NA())</f>
        <v>#N/A</v>
      </c>
      <c r="AV16" t="e">
        <f ca="1">IF(VLOOKUP(Tabell1345[[#This Row],[Nr]],$BV$3:$CB$11,2,TRUE)=7,Tabell1345[[#This Row],[Verdi_korrigert_IT]],NA())</f>
        <v>#N/A</v>
      </c>
      <c r="AW16">
        <f ca="1">IF(Tabell1345[[#This Row],[Brudd]]&lt;&gt;"*",IF(ISNUMBER(OFFSET(Tabell1345[[#This Row],[ser_indeks]],-1,0)),OFFSET(Tabell1345[[#This Row],[ser_indeks]],-1,0),0),0)+1</f>
        <v>2</v>
      </c>
      <c r="AX16">
        <f ca="1">VLOOKUP(Tabell1345[[#This Row],[Nr]],$BV$2:$BW$9,2,TRUE)</f>
        <v>1</v>
      </c>
      <c r="AY16">
        <f ca="1">IF(OFFSET(Tabell1345[[#This Row],[ser_indeks]],1,0)&lt;Tabell1345[[#This Row],[ser_indeks]],1,0)</f>
        <v>0</v>
      </c>
      <c r="AZ16">
        <f ca="1">IFERROR(VALUE(Tabell1345[[#This Row],[Verdi_korrigert_IT]]),OFFSET(Tabell1345[[#This Row],[verdi_korrigert]],-1,0))</f>
        <v>48</v>
      </c>
      <c r="BA16">
        <f ca="1">_xlfn.RANK.AVG(Tabell1345[[#This Row],[verdi_korrigert]],Tabell1345[verdi_korrigert],1)</f>
        <v>19</v>
      </c>
      <c r="BB16">
        <f ca="1">IF(Tabell1345[[#This Row],[rang]]=OFFSET(Tabell1345[[#This Row],[rang]],1,0),1,0)</f>
        <v>0</v>
      </c>
      <c r="BC16">
        <f ca="1">IF(AND(Tabell1345[[#This Row],[rang]]&gt;=OFFSET(Tabell1345[[#This Row],[rang]],-1,0),Tabell1345[[#This Row],[ser_indeks]]&gt;1),IFERROR(VALUE(OFFSET(Tabell1345[[#This Row],[rang_stig]],-1,0)),0)+1,VALUE($CH$3)-1)-Tabell1345[[#This Row],[rang_samme]]</f>
        <v>0</v>
      </c>
      <c r="BD16">
        <f ca="1">IF(AND(Tabell1345[[#This Row],[rang]]&lt;=OFFSET(Tabell1345[[#This Row],[rang]],-1,0),Tabell1345[[#This Row],[ser_indeks]]&gt;1),IFERROR(VALUE(OFFSET(Tabell1345[[#This Row],[rang_synk]],-1,0)),0)+1,VALUE($CH$3)-1)-Tabell1345[[#This Row],[rang_samme]]</f>
        <v>1</v>
      </c>
      <c r="BE16">
        <f ca="1">MAXA(Tabell1345[[#This Row],[rang_stig]:[rang_synk]])</f>
        <v>1</v>
      </c>
      <c r="BF16">
        <f ca="1">($CH$2-1)+_xlfn.AGGREGATE(9,6,Tabell1345[[#This Row],[rang_samme]]:OFFSET(Tabell1345[[#This Row],[rang_samme]],($CH$2-1),0))</f>
        <v>5</v>
      </c>
      <c r="BG16" t="e">
        <f ca="1">IF($G$9="ja",IF(MAXA(Tabell1345[[#This Row],[rang_stigsynk]]:INDIRECT(ADDRESS(ROW(Tabell1345[[#This Row],[rang_stigsynk]])+Tabell1345[[#This Row],[trend_omr]],COLUMN(Tabell1345[[#This Row],[rang_stigsynk]]))))&gt;($CH$2-2),Tabell1345[[#This Row],[Verdi_korrigert_IT]],NA()),NA())</f>
        <v>#N/A</v>
      </c>
      <c r="BH16" s="5" t="e">
        <f ca="1">IF(Tabell1345[[#This Row],[ser_indeks]]&gt;3,_xlfn.AGGREGATE(4,4,OFFSET(Tabell1345[[#This Row],[Verdi1]],-3,Tabell1345[[#This Row],[serie_nr]]-1):OFFSET(Tabell1345[[#This Row],[Verdi1]],4,Tabell1345[[#This Row],[serie_nr]]-1)),NA())</f>
        <v>#N/A</v>
      </c>
      <c r="BI16" s="5" t="e">
        <f ca="1">IF(Tabell1345[[#This Row],[ser_indeks]]&gt;3,_xlfn.AGGREGATE(5,4,OFFSET(Tabell1345[[#This Row],[Verdi1]],-3,Tabell1345[[#This Row],[serie_nr]]-1):OFFSET(Tabell1345[[#This Row],[Verdi1]],4,Tabell1345[[#This Row],[serie_nr]]-1)),NA())</f>
        <v>#N/A</v>
      </c>
      <c r="BJ16" s="5" t="e">
        <f ca="1">IF(_xlfn.AGGREGATE(4,6,Tabell1345[[#This Row],[til_brudd_rader]]:OFFSET(Tabell1345[[#This Row],[til_brudd_rader]],3,0))&gt;0,NA(),IF(Tabell1345[[#This Row],[skifte_lav1]]&lt;Tabell1345[[#This Row],[Snitt]],Tabell1345[[#This Row],[Verdi_korrigert_IT]],NA()))</f>
        <v>#N/A</v>
      </c>
      <c r="BK16" s="5" t="e">
        <f ca="1">IF(_xlfn.AGGREGATE(4,6,Tabell1345[[#This Row],[til_brudd_rader]]:OFFSET(Tabell1345[[#This Row],[til_brudd_rader]],3,0))&gt;0,NA(),IF(Tabell1345[[#This Row],[skifte_høy1]]&gt;Tabell1345[[#This Row],[Snitt]],Tabell1345[[#This Row],[Verdi_korrigert_IT]],NA()))</f>
        <v>#N/A</v>
      </c>
      <c r="BL16">
        <f ca="1">IF($G$9="ja",IFERROR(IF(_xlfn.AGGREGATE(4,6,OFFSET(Tabell1345[[#This Row],[skifte_lav2]],-4,0):OFFSET(Tabell1345[[#This Row],[skifte_lav2]],3,1))&gt;0,Tabell1345[[#This Row],[Verdi_korrigert_IT]],NA()),NA()),NA())</f>
        <v>48</v>
      </c>
      <c r="BM16" t="e">
        <f ca="1">IF($G$9="ja",IF(OR(Tabell1345[[#This Row],[Verdi_korrigert_IT]]&gt;Tabell1345[[#This Row],[UCL]],Tabell1345[[#This Row],[Verdi_korrigert_IT]]&lt;Tabell1345[[#This Row],[LCL]]),Tabell1345[[#This Row],[Verdi_korrigert_IT]],NA()),NA())</f>
        <v>#N/A</v>
      </c>
      <c r="BN16">
        <f>IF(Tabell1345[[#This Row],[Brudd]]="x","",Tabell1345[[#This Row],[Verdi]])</f>
        <v>48</v>
      </c>
      <c r="BO16">
        <f>IF(Tabell1345[[#This Row],[Brudd]]="x",NA(),Tabell1345[[#This Row],[Verdi]])</f>
        <v>48</v>
      </c>
      <c r="BP16">
        <f ca="1">IF(ISERROR(Tabell1345[[#This Row],[Verdi_korrigert_IT]]),OFFSET(Tabell1345[[#This Row],[ForrigeGyldige]],-1,0),Tabell1345[[#This Row],[Verdi]])</f>
        <v>48</v>
      </c>
      <c r="BQ16">
        <f>Tabell1345[[#This Row],[Verdi]]</f>
        <v>48</v>
      </c>
    </row>
    <row r="17" spans="1:69" x14ac:dyDescent="0.35">
      <c r="A17">
        <f ca="1">IF(ISNUMBER(OFFSET(Tabell1345[[#This Row],[Nr]],-1,0)),OFFSET(Tabell1345[[#This Row],[Nr]],-1,0))+1</f>
        <v>3</v>
      </c>
      <c r="C17" s="36">
        <v>54</v>
      </c>
      <c r="H17" t="e">
        <f t="shared" si="6"/>
        <v>#N/A</v>
      </c>
      <c r="I17" t="b">
        <f>IF(OR(Tabell1345[[#This Row],[Brudd]]="*",ROW()-ROW(Tabell1345[#All])+1=ROWS(Tabell1345[#All])),ROW())</f>
        <v>0</v>
      </c>
      <c r="J17" s="2">
        <f ca="1">VLOOKUP(Tabell1345[[#This Row],[Nr]],$BV$2:$CB$11,4,TRUE)</f>
        <v>54.583333333333336</v>
      </c>
      <c r="K17" s="2">
        <f ca="1">VLOOKUP(Tabell1345[[#This Row],[Nr]],$BV$2:$CB$11,7,TRUE)</f>
        <v>17.826969696969698</v>
      </c>
      <c r="L17" s="2">
        <f ca="1">VLOOKUP(Tabell1345[[#This Row],[Nr]],$BV$2:$CB$11,6,TRUE)</f>
        <v>91.339696969696973</v>
      </c>
      <c r="M17">
        <f ca="1">IF(OR(Tabell1345[[#This Row],[Brudd]]="*",ISERROR(Tabell1345[[#This Row],[Verdi_korrigert_IT]])),"",IF(ISNUMBER(OFFSET(Tabell1345[[#This Row],[ForrigeGyldige]],-1,0)),ABS(Tabell1345[[#This Row],[Verdi_korrigert_IT]]-OFFSET(Tabell1345[[#This Row],[ForrigeGyldige]],-1,0)),""))</f>
        <v>6</v>
      </c>
      <c r="N17">
        <f ca="1">IF(VLOOKUP(Tabell1345[[#This Row],[Nr]],$BV$3:$CB$11,2,TRUE)=1,VLOOKUP(Tabell1345[[#This Row],[Nr]],$BV$3:$CB$11,4,TRUE),NA())</f>
        <v>54.583333333333336</v>
      </c>
      <c r="O17" t="e">
        <f ca="1">IF(VLOOKUP(Tabell1345[[#This Row],[Nr]],$BV$3:$CB$11,2,TRUE)=2,VLOOKUP(Tabell1345[[#This Row],[Nr]],$BV$3:$CB$11,4,TRUE),NA())</f>
        <v>#N/A</v>
      </c>
      <c r="P17" s="2" t="e">
        <f ca="1">IF(VLOOKUP(Tabell1345[[#This Row],[Nr]],$BV$3:$CB$11,2,TRUE)=3,VLOOKUP(Tabell1345[[#This Row],[Nr]],$BV$3:$CB$11,4,TRUE),NA())</f>
        <v>#N/A</v>
      </c>
      <c r="Q17" t="e">
        <f ca="1">IF(VLOOKUP(Tabell1345[[#This Row],[Nr]],$BV$3:$CB$11,2,TRUE)=4,VLOOKUP(Tabell1345[[#This Row],[Nr]],$BV$3:$CB$11,4,TRUE),NA())</f>
        <v>#N/A</v>
      </c>
      <c r="R17" t="e">
        <f ca="1">IF(VLOOKUP(Tabell1345[[#This Row],[Nr]],$BV$3:$CB$11,2,TRUE)=5,VLOOKUP(Tabell1345[[#This Row],[Nr]],$BV$3:$CB$11,4,TRUE),NA())</f>
        <v>#N/A</v>
      </c>
      <c r="S17" t="e">
        <f ca="1">IF(VLOOKUP(Tabell1345[[#This Row],[Nr]],$BV$3:$CB$11,2,TRUE)=6,VLOOKUP(Tabell1345[[#This Row],[Nr]],$BV$3:$CB$11,4,TRUE),NA())</f>
        <v>#N/A</v>
      </c>
      <c r="T17" t="e">
        <f ca="1">IF(VLOOKUP(Tabell1345[[#This Row],[Nr]],$BV$3:$CB$11,2,TRUE)=7,VLOOKUP(Tabell1345[[#This Row],[Nr]],$BV$3:$CB$11,4,TRUE),NA())</f>
        <v>#N/A</v>
      </c>
      <c r="U17">
        <f ca="1">IF(VLOOKUP(Tabell1345[[#This Row],[Nr]],$BV$3:$CB$11,2,TRUE)=1,VLOOKUP(Tabell1345[[#This Row],[Nr]],$BV$3:$CB$11,6,TRUE),NA())</f>
        <v>91.339696969696973</v>
      </c>
      <c r="V17" t="e">
        <f ca="1">IF(VLOOKUP(Tabell1345[[#This Row],[Nr]],$BV$3:$CB$11,2,TRUE)=2,VLOOKUP(Tabell1345[[#This Row],[Nr]],$BV$3:$CB$11,6,TRUE),NA())</f>
        <v>#N/A</v>
      </c>
      <c r="W17" t="e">
        <f ca="1">IF(VLOOKUP(Tabell1345[[#This Row],[Nr]],$BV$3:$CB$11,2,TRUE)=3,VLOOKUP(Tabell1345[[#This Row],[Nr]],$BV$3:$CB$11,6,TRUE),NA())</f>
        <v>#N/A</v>
      </c>
      <c r="X17" t="e">
        <f ca="1">IF(VLOOKUP(Tabell1345[[#This Row],[Nr]],$BV$3:$CB$11,2,TRUE)=4,VLOOKUP(Tabell1345[[#This Row],[Nr]],$BV$3:$CB$11,6,TRUE),NA())</f>
        <v>#N/A</v>
      </c>
      <c r="Y17" t="e">
        <f ca="1">IF(VLOOKUP(Tabell1345[[#This Row],[Nr]],$BV$3:$CB$11,2,TRUE)=5,VLOOKUP(Tabell1345[[#This Row],[Nr]],$BV$3:$CB$11,6,TRUE),NA())</f>
        <v>#N/A</v>
      </c>
      <c r="Z17" t="e">
        <f ca="1">IF(VLOOKUP(Tabell1345[[#This Row],[Nr]],$BV$3:$CB$11,2,TRUE)=6,VLOOKUP(Tabell1345[[#This Row],[Nr]],$BV$3:$CB$11,6,TRUE),NA())</f>
        <v>#N/A</v>
      </c>
      <c r="AA17" t="e">
        <f ca="1">IF(VLOOKUP(Tabell1345[[#This Row],[Nr]],$BV$3:$CB$11,2,TRUE)=7,VLOOKUP(Tabell1345[[#This Row],[Nr]],$BV$3:$CB$11,6,TRUE),NA())</f>
        <v>#N/A</v>
      </c>
      <c r="AB17">
        <f ca="1">IF(VLOOKUP(Tabell1345[[#This Row],[Nr]],$BV$3:$CB$11,2,TRUE)=1,VLOOKUP(Tabell1345[[#This Row],[Nr]],$BV$3:$CB$11,7,TRUE),NA())</f>
        <v>17.826969696969698</v>
      </c>
      <c r="AC17" t="e">
        <f ca="1">IF(VLOOKUP(Tabell1345[[#This Row],[Nr]],$BV$3:$CB$11,2,TRUE)=2,VLOOKUP(Tabell1345[[#This Row],[Nr]],$BV$3:$CB$11,7,TRUE),NA())</f>
        <v>#N/A</v>
      </c>
      <c r="AD17" t="e">
        <f ca="1">IF(VLOOKUP(Tabell1345[[#This Row],[Nr]],$BV$3:$CB$11,2,TRUE)=3,VLOOKUP(Tabell1345[[#This Row],[Nr]],$BV$3:$CB$11,7,TRUE),NA())</f>
        <v>#N/A</v>
      </c>
      <c r="AE17" t="e">
        <f ca="1">IF(VLOOKUP(Tabell1345[[#This Row],[Nr]],$BV$3:$CB$11,2,TRUE)=4,VLOOKUP(Tabell1345[[#This Row],[Nr]],$BV$3:$CB$11,7,TRUE),NA())</f>
        <v>#N/A</v>
      </c>
      <c r="AF17" t="e">
        <f ca="1">IF(VLOOKUP(Tabell1345[[#This Row],[Nr]],$BV$3:$CB$11,2,TRUE)=5,VLOOKUP(Tabell1345[[#This Row],[Nr]],$BV$3:$CB$11,7,TRUE),NA())</f>
        <v>#N/A</v>
      </c>
      <c r="AG17" t="e">
        <f ca="1">IF(VLOOKUP(Tabell1345[[#This Row],[Nr]],$BV$3:$CB$11,2,TRUE)=6,VLOOKUP(Tabell1345[[#This Row],[Nr]],$BV$3:$CB$11,7,TRUE),NA())</f>
        <v>#N/A</v>
      </c>
      <c r="AH17" t="e">
        <f ca="1">IF(VLOOKUP(Tabell1345[[#This Row],[Nr]],$BV$3:$CB$11,2,TRUE)=7,VLOOKUP(Tabell1345[[#This Row],[Nr]],$BV$3:$CB$11,7,TRUE),NA())</f>
        <v>#N/A</v>
      </c>
      <c r="AI17">
        <f ca="1">IF(VLOOKUP(Tabell1345[[#This Row],[Nr]],$BV$3:$CB$11,2,TRUE)=1,VLOOKUP(Tabell1345[[#This Row],[Nr]],$BV$3:$CB$11,5,TRUE),NA())</f>
        <v>51.5</v>
      </c>
      <c r="AJ17" t="e">
        <f ca="1">IF(VLOOKUP(Tabell1345[[#This Row],[Nr]],$BV$3:$CB$11,2,TRUE)=2,VLOOKUP(Tabell1345[[#This Row],[Nr]],$BV$3:$CB$11,5,TRUE),NA())</f>
        <v>#N/A</v>
      </c>
      <c r="AK17" t="e">
        <f ca="1">IF(VLOOKUP(Tabell1345[[#This Row],[Nr]],$BV$3:$CB$11,2,TRUE)=3,VLOOKUP(Tabell1345[[#This Row],[Nr]],$BV$3:$CB$11,5,TRUE),NA())</f>
        <v>#N/A</v>
      </c>
      <c r="AL17" t="e">
        <f ca="1">IF(VLOOKUP(Tabell1345[[#This Row],[Nr]],$BV$3:$CB$11,2,TRUE)=4,VLOOKUP(Tabell1345[[#This Row],[Nr]],$BV$3:$CB$11,5,TRUE),NA())</f>
        <v>#N/A</v>
      </c>
      <c r="AM17" t="e">
        <f ca="1">IF(VLOOKUP(Tabell1345[[#This Row],[Nr]],$BV$3:$CB$11,2,TRUE)=5,VLOOKUP(Tabell1345[[#This Row],[Nr]],$BV$3:$CB$11,5,TRUE),NA())</f>
        <v>#N/A</v>
      </c>
      <c r="AN17" t="e">
        <f ca="1">IF(VLOOKUP(Tabell1345[[#This Row],[Nr]],$BV$3:$CB$11,2,TRUE)=6,VLOOKUP(Tabell1345[[#This Row],[Nr]],$BV$3:$CB$11,5,TRUE),NA())</f>
        <v>#N/A</v>
      </c>
      <c r="AO17" t="e">
        <f ca="1">IF(VLOOKUP(Tabell1345[[#This Row],[Nr]],$BV$3:$CB$11,2,TRUE)=7,VLOOKUP(Tabell1345[[#This Row],[Nr]],$BV$3:$CB$11,5,TRUE),NA())</f>
        <v>#N/A</v>
      </c>
      <c r="AP17">
        <f ca="1">IF(VLOOKUP(Tabell1345[[#This Row],[Nr]],$BV$3:$CB$11,2,TRUE)=1,Tabell1345[[#This Row],[Verdi_korrigert_IT]],NA())</f>
        <v>54</v>
      </c>
      <c r="AQ17" t="e">
        <f ca="1">IF(VLOOKUP(Tabell1345[[#This Row],[Nr]],$BV$3:$CB$11,2,TRUE)=2,Tabell1345[[#This Row],[Verdi_korrigert_IT]],NA())</f>
        <v>#N/A</v>
      </c>
      <c r="AR17" t="e">
        <f ca="1">IF(VLOOKUP(Tabell1345[[#This Row],[Nr]],$BV$3:$CB$11,2,TRUE)=3,Tabell1345[[#This Row],[Verdi_korrigert_IT]],NA())</f>
        <v>#N/A</v>
      </c>
      <c r="AS17" t="e">
        <f ca="1">IF(VLOOKUP(Tabell1345[[#This Row],[Nr]],$BV$3:$CB$11,2,TRUE)=4,Tabell1345[[#This Row],[Verdi_korrigert_IT]],NA())</f>
        <v>#N/A</v>
      </c>
      <c r="AT17" t="e">
        <f ca="1">IF(VLOOKUP(Tabell1345[[#This Row],[Nr]],$BV$3:$CB$11,2,TRUE)=5,Tabell1345[[#This Row],[Verdi_korrigert_IT]],NA())</f>
        <v>#N/A</v>
      </c>
      <c r="AU17" t="e">
        <f ca="1">IF(VLOOKUP(Tabell1345[[#This Row],[Nr]],$BV$3:$CB$11,2,TRUE)=6,Tabell1345[[#This Row],[Verdi_korrigert_IT]],NA())</f>
        <v>#N/A</v>
      </c>
      <c r="AV17" t="e">
        <f ca="1">IF(VLOOKUP(Tabell1345[[#This Row],[Nr]],$BV$3:$CB$11,2,TRUE)=7,Tabell1345[[#This Row],[Verdi_korrigert_IT]],NA())</f>
        <v>#N/A</v>
      </c>
      <c r="AW17">
        <f ca="1">IF(Tabell1345[[#This Row],[Brudd]]&lt;&gt;"*",IF(ISNUMBER(OFFSET(Tabell1345[[#This Row],[ser_indeks]],-1,0)),OFFSET(Tabell1345[[#This Row],[ser_indeks]],-1,0),0),0)+1</f>
        <v>3</v>
      </c>
      <c r="AX17">
        <f ca="1">VLOOKUP(Tabell1345[[#This Row],[Nr]],$BV$2:$BW$9,2,TRUE)</f>
        <v>1</v>
      </c>
      <c r="AY17">
        <f ca="1">IF(OFFSET(Tabell1345[[#This Row],[ser_indeks]],1,0)&lt;Tabell1345[[#This Row],[ser_indeks]],1,0)</f>
        <v>0</v>
      </c>
      <c r="AZ17">
        <f ca="1">IFERROR(VALUE(Tabell1345[[#This Row],[Verdi_korrigert_IT]]),OFFSET(Tabell1345[[#This Row],[verdi_korrigert]],-1,0))</f>
        <v>54</v>
      </c>
      <c r="BA17">
        <f ca="1">_xlfn.RANK.AVG(Tabell1345[[#This Row],[verdi_korrigert]],Tabell1345[verdi_korrigert],1)</f>
        <v>28</v>
      </c>
      <c r="BB17">
        <f ca="1">IF(Tabell1345[[#This Row],[rang]]=OFFSET(Tabell1345[[#This Row],[rang]],1,0),1,0)</f>
        <v>0</v>
      </c>
      <c r="BC17">
        <f ca="1">IF(AND(Tabell1345[[#This Row],[rang]]&gt;=OFFSET(Tabell1345[[#This Row],[rang]],-1,0),Tabell1345[[#This Row],[ser_indeks]]&gt;1),IFERROR(VALUE(OFFSET(Tabell1345[[#This Row],[rang_stig]],-1,0)),0)+1,VALUE($CH$3)-1)-Tabell1345[[#This Row],[rang_samme]]</f>
        <v>1</v>
      </c>
      <c r="BD17">
        <f ca="1">IF(AND(Tabell1345[[#This Row],[rang]]&lt;=OFFSET(Tabell1345[[#This Row],[rang]],-1,0),Tabell1345[[#This Row],[ser_indeks]]&gt;1),IFERROR(VALUE(OFFSET(Tabell1345[[#This Row],[rang_synk]],-1,0)),0)+1,VALUE($CH$3)-1)-Tabell1345[[#This Row],[rang_samme]]</f>
        <v>0</v>
      </c>
      <c r="BE17">
        <f ca="1">MAXA(Tabell1345[[#This Row],[rang_stig]:[rang_synk]])</f>
        <v>1</v>
      </c>
      <c r="BF17">
        <f ca="1">($CH$2-1)+_xlfn.AGGREGATE(9,6,Tabell1345[[#This Row],[rang_samme]]:OFFSET(Tabell1345[[#This Row],[rang_samme]],($CH$2-1),0))</f>
        <v>5</v>
      </c>
      <c r="BG17" t="e">
        <f ca="1">IF($G$9="ja",IF(MAXA(Tabell1345[[#This Row],[rang_stigsynk]]:INDIRECT(ADDRESS(ROW(Tabell1345[[#This Row],[rang_stigsynk]])+Tabell1345[[#This Row],[trend_omr]],COLUMN(Tabell1345[[#This Row],[rang_stigsynk]]))))&gt;($CH$2-2),Tabell1345[[#This Row],[Verdi_korrigert_IT]],NA()),NA())</f>
        <v>#N/A</v>
      </c>
      <c r="BH17" s="5" t="e">
        <f ca="1">IF(Tabell1345[[#This Row],[ser_indeks]]&gt;3,_xlfn.AGGREGATE(4,4,OFFSET(Tabell1345[[#This Row],[Verdi1]],-3,Tabell1345[[#This Row],[serie_nr]]-1):OFFSET(Tabell1345[[#This Row],[Verdi1]],4,Tabell1345[[#This Row],[serie_nr]]-1)),NA())</f>
        <v>#N/A</v>
      </c>
      <c r="BI17" s="5" t="e">
        <f ca="1">IF(Tabell1345[[#This Row],[ser_indeks]]&gt;3,_xlfn.AGGREGATE(5,4,OFFSET(Tabell1345[[#This Row],[Verdi1]],-3,Tabell1345[[#This Row],[serie_nr]]-1):OFFSET(Tabell1345[[#This Row],[Verdi1]],4,Tabell1345[[#This Row],[serie_nr]]-1)),NA())</f>
        <v>#N/A</v>
      </c>
      <c r="BJ17" s="5" t="e">
        <f ca="1">IF(_xlfn.AGGREGATE(4,6,Tabell1345[[#This Row],[til_brudd_rader]]:OFFSET(Tabell1345[[#This Row],[til_brudd_rader]],3,0))&gt;0,NA(),IF(Tabell1345[[#This Row],[skifte_lav1]]&lt;Tabell1345[[#This Row],[Snitt]],Tabell1345[[#This Row],[Verdi_korrigert_IT]],NA()))</f>
        <v>#N/A</v>
      </c>
      <c r="BK17" s="5" t="e">
        <f ca="1">IF(_xlfn.AGGREGATE(4,6,Tabell1345[[#This Row],[til_brudd_rader]]:OFFSET(Tabell1345[[#This Row],[til_brudd_rader]],3,0))&gt;0,NA(),IF(Tabell1345[[#This Row],[skifte_høy1]]&gt;Tabell1345[[#This Row],[Snitt]],Tabell1345[[#This Row],[Verdi_korrigert_IT]],NA()))</f>
        <v>#N/A</v>
      </c>
      <c r="BL17">
        <f ca="1">IF($G$9="ja",IFERROR(IF(_xlfn.AGGREGATE(4,6,OFFSET(Tabell1345[[#This Row],[skifte_lav2]],-4,0):OFFSET(Tabell1345[[#This Row],[skifte_lav2]],3,1))&gt;0,Tabell1345[[#This Row],[Verdi_korrigert_IT]],NA()),NA()),NA())</f>
        <v>54</v>
      </c>
      <c r="BM17" t="e">
        <f ca="1">IF($G$9="ja",IF(OR(Tabell1345[[#This Row],[Verdi_korrigert_IT]]&gt;Tabell1345[[#This Row],[UCL]],Tabell1345[[#This Row],[Verdi_korrigert_IT]]&lt;Tabell1345[[#This Row],[LCL]]),Tabell1345[[#This Row],[Verdi_korrigert_IT]],NA()),NA())</f>
        <v>#N/A</v>
      </c>
      <c r="BN17">
        <f>IF(Tabell1345[[#This Row],[Brudd]]="x","",Tabell1345[[#This Row],[Verdi]])</f>
        <v>54</v>
      </c>
      <c r="BO17">
        <f>IF(Tabell1345[[#This Row],[Brudd]]="x",NA(),Tabell1345[[#This Row],[Verdi]])</f>
        <v>54</v>
      </c>
      <c r="BP17">
        <f ca="1">IF(ISERROR(Tabell1345[[#This Row],[Verdi_korrigert_IT]]),OFFSET(Tabell1345[[#This Row],[ForrigeGyldige]],-1,0),Tabell1345[[#This Row],[Verdi]])</f>
        <v>54</v>
      </c>
      <c r="BQ17">
        <f>Tabell1345[[#This Row],[Verdi]]</f>
        <v>54</v>
      </c>
    </row>
    <row r="18" spans="1:69" x14ac:dyDescent="0.35">
      <c r="A18">
        <f ca="1">IF(ISNUMBER(OFFSET(Tabell1345[[#This Row],[Nr]],-1,0)),OFFSET(Tabell1345[[#This Row],[Nr]],-1,0))+1</f>
        <v>4</v>
      </c>
      <c r="C18" s="36">
        <v>47</v>
      </c>
      <c r="H18" t="e">
        <f t="shared" si="6"/>
        <v>#N/A</v>
      </c>
      <c r="I18" t="b">
        <f>IF(OR(Tabell1345[[#This Row],[Brudd]]="*",ROW()-ROW(Tabell1345[#All])+1=ROWS(Tabell1345[#All])),ROW())</f>
        <v>0</v>
      </c>
      <c r="J18" s="2">
        <f ca="1">VLOOKUP(Tabell1345[[#This Row],[Nr]],$BV$2:$CB$11,4,TRUE)</f>
        <v>54.583333333333336</v>
      </c>
      <c r="K18" s="2">
        <f ca="1">VLOOKUP(Tabell1345[[#This Row],[Nr]],$BV$2:$CB$11,7,TRUE)</f>
        <v>17.826969696969698</v>
      </c>
      <c r="L18" s="2">
        <f ca="1">VLOOKUP(Tabell1345[[#This Row],[Nr]],$BV$2:$CB$11,6,TRUE)</f>
        <v>91.339696969696973</v>
      </c>
      <c r="M18">
        <f ca="1">IF(OR(Tabell1345[[#This Row],[Brudd]]="*",ISERROR(Tabell1345[[#This Row],[Verdi_korrigert_IT]])),"",IF(ISNUMBER(OFFSET(Tabell1345[[#This Row],[ForrigeGyldige]],-1,0)),ABS(Tabell1345[[#This Row],[Verdi_korrigert_IT]]-OFFSET(Tabell1345[[#This Row],[ForrigeGyldige]],-1,0)),""))</f>
        <v>7</v>
      </c>
      <c r="N18">
        <f ca="1">IF(VLOOKUP(Tabell1345[[#This Row],[Nr]],$BV$3:$CB$11,2,TRUE)=1,VLOOKUP(Tabell1345[[#This Row],[Nr]],$BV$3:$CB$11,4,TRUE),NA())</f>
        <v>54.583333333333336</v>
      </c>
      <c r="O18" t="e">
        <f ca="1">IF(VLOOKUP(Tabell1345[[#This Row],[Nr]],$BV$3:$CB$11,2,TRUE)=2,VLOOKUP(Tabell1345[[#This Row],[Nr]],$BV$3:$CB$11,4,TRUE),NA())</f>
        <v>#N/A</v>
      </c>
      <c r="P18" s="2" t="e">
        <f ca="1">IF(VLOOKUP(Tabell1345[[#This Row],[Nr]],$BV$3:$CB$11,2,TRUE)=3,VLOOKUP(Tabell1345[[#This Row],[Nr]],$BV$3:$CB$11,4,TRUE),NA())</f>
        <v>#N/A</v>
      </c>
      <c r="Q18" t="e">
        <f ca="1">IF(VLOOKUP(Tabell1345[[#This Row],[Nr]],$BV$3:$CB$11,2,TRUE)=4,VLOOKUP(Tabell1345[[#This Row],[Nr]],$BV$3:$CB$11,4,TRUE),NA())</f>
        <v>#N/A</v>
      </c>
      <c r="R18" t="e">
        <f ca="1">IF(VLOOKUP(Tabell1345[[#This Row],[Nr]],$BV$3:$CB$11,2,TRUE)=5,VLOOKUP(Tabell1345[[#This Row],[Nr]],$BV$3:$CB$11,4,TRUE),NA())</f>
        <v>#N/A</v>
      </c>
      <c r="S18" t="e">
        <f ca="1">IF(VLOOKUP(Tabell1345[[#This Row],[Nr]],$BV$3:$CB$11,2,TRUE)=6,VLOOKUP(Tabell1345[[#This Row],[Nr]],$BV$3:$CB$11,4,TRUE),NA())</f>
        <v>#N/A</v>
      </c>
      <c r="T18" t="e">
        <f ca="1">IF(VLOOKUP(Tabell1345[[#This Row],[Nr]],$BV$3:$CB$11,2,TRUE)=7,VLOOKUP(Tabell1345[[#This Row],[Nr]],$BV$3:$CB$11,4,TRUE),NA())</f>
        <v>#N/A</v>
      </c>
      <c r="U18">
        <f ca="1">IF(VLOOKUP(Tabell1345[[#This Row],[Nr]],$BV$3:$CB$11,2,TRUE)=1,VLOOKUP(Tabell1345[[#This Row],[Nr]],$BV$3:$CB$11,6,TRUE),NA())</f>
        <v>91.339696969696973</v>
      </c>
      <c r="V18" t="e">
        <f ca="1">IF(VLOOKUP(Tabell1345[[#This Row],[Nr]],$BV$3:$CB$11,2,TRUE)=2,VLOOKUP(Tabell1345[[#This Row],[Nr]],$BV$3:$CB$11,6,TRUE),NA())</f>
        <v>#N/A</v>
      </c>
      <c r="W18" t="e">
        <f ca="1">IF(VLOOKUP(Tabell1345[[#This Row],[Nr]],$BV$3:$CB$11,2,TRUE)=3,VLOOKUP(Tabell1345[[#This Row],[Nr]],$BV$3:$CB$11,6,TRUE),NA())</f>
        <v>#N/A</v>
      </c>
      <c r="X18" t="e">
        <f ca="1">IF(VLOOKUP(Tabell1345[[#This Row],[Nr]],$BV$3:$CB$11,2,TRUE)=4,VLOOKUP(Tabell1345[[#This Row],[Nr]],$BV$3:$CB$11,6,TRUE),NA())</f>
        <v>#N/A</v>
      </c>
      <c r="Y18" t="e">
        <f ca="1">IF(VLOOKUP(Tabell1345[[#This Row],[Nr]],$BV$3:$CB$11,2,TRUE)=5,VLOOKUP(Tabell1345[[#This Row],[Nr]],$BV$3:$CB$11,6,TRUE),NA())</f>
        <v>#N/A</v>
      </c>
      <c r="Z18" t="e">
        <f ca="1">IF(VLOOKUP(Tabell1345[[#This Row],[Nr]],$BV$3:$CB$11,2,TRUE)=6,VLOOKUP(Tabell1345[[#This Row],[Nr]],$BV$3:$CB$11,6,TRUE),NA())</f>
        <v>#N/A</v>
      </c>
      <c r="AA18" t="e">
        <f ca="1">IF(VLOOKUP(Tabell1345[[#This Row],[Nr]],$BV$3:$CB$11,2,TRUE)=7,VLOOKUP(Tabell1345[[#This Row],[Nr]],$BV$3:$CB$11,6,TRUE),NA())</f>
        <v>#N/A</v>
      </c>
      <c r="AB18">
        <f ca="1">IF(VLOOKUP(Tabell1345[[#This Row],[Nr]],$BV$3:$CB$11,2,TRUE)=1,VLOOKUP(Tabell1345[[#This Row],[Nr]],$BV$3:$CB$11,7,TRUE),NA())</f>
        <v>17.826969696969698</v>
      </c>
      <c r="AC18" t="e">
        <f ca="1">IF(VLOOKUP(Tabell1345[[#This Row],[Nr]],$BV$3:$CB$11,2,TRUE)=2,VLOOKUP(Tabell1345[[#This Row],[Nr]],$BV$3:$CB$11,7,TRUE),NA())</f>
        <v>#N/A</v>
      </c>
      <c r="AD18" t="e">
        <f ca="1">IF(VLOOKUP(Tabell1345[[#This Row],[Nr]],$BV$3:$CB$11,2,TRUE)=3,VLOOKUP(Tabell1345[[#This Row],[Nr]],$BV$3:$CB$11,7,TRUE),NA())</f>
        <v>#N/A</v>
      </c>
      <c r="AE18" t="e">
        <f ca="1">IF(VLOOKUP(Tabell1345[[#This Row],[Nr]],$BV$3:$CB$11,2,TRUE)=4,VLOOKUP(Tabell1345[[#This Row],[Nr]],$BV$3:$CB$11,7,TRUE),NA())</f>
        <v>#N/A</v>
      </c>
      <c r="AF18" t="e">
        <f ca="1">IF(VLOOKUP(Tabell1345[[#This Row],[Nr]],$BV$3:$CB$11,2,TRUE)=5,VLOOKUP(Tabell1345[[#This Row],[Nr]],$BV$3:$CB$11,7,TRUE),NA())</f>
        <v>#N/A</v>
      </c>
      <c r="AG18" t="e">
        <f ca="1">IF(VLOOKUP(Tabell1345[[#This Row],[Nr]],$BV$3:$CB$11,2,TRUE)=6,VLOOKUP(Tabell1345[[#This Row],[Nr]],$BV$3:$CB$11,7,TRUE),NA())</f>
        <v>#N/A</v>
      </c>
      <c r="AH18" t="e">
        <f ca="1">IF(VLOOKUP(Tabell1345[[#This Row],[Nr]],$BV$3:$CB$11,2,TRUE)=7,VLOOKUP(Tabell1345[[#This Row],[Nr]],$BV$3:$CB$11,7,TRUE),NA())</f>
        <v>#N/A</v>
      </c>
      <c r="AI18">
        <f ca="1">IF(VLOOKUP(Tabell1345[[#This Row],[Nr]],$BV$3:$CB$11,2,TRUE)=1,VLOOKUP(Tabell1345[[#This Row],[Nr]],$BV$3:$CB$11,5,TRUE),NA())</f>
        <v>51.5</v>
      </c>
      <c r="AJ18" t="e">
        <f ca="1">IF(VLOOKUP(Tabell1345[[#This Row],[Nr]],$BV$3:$CB$11,2,TRUE)=2,VLOOKUP(Tabell1345[[#This Row],[Nr]],$BV$3:$CB$11,5,TRUE),NA())</f>
        <v>#N/A</v>
      </c>
      <c r="AK18" t="e">
        <f ca="1">IF(VLOOKUP(Tabell1345[[#This Row],[Nr]],$BV$3:$CB$11,2,TRUE)=3,VLOOKUP(Tabell1345[[#This Row],[Nr]],$BV$3:$CB$11,5,TRUE),NA())</f>
        <v>#N/A</v>
      </c>
      <c r="AL18" t="e">
        <f ca="1">IF(VLOOKUP(Tabell1345[[#This Row],[Nr]],$BV$3:$CB$11,2,TRUE)=4,VLOOKUP(Tabell1345[[#This Row],[Nr]],$BV$3:$CB$11,5,TRUE),NA())</f>
        <v>#N/A</v>
      </c>
      <c r="AM18" t="e">
        <f ca="1">IF(VLOOKUP(Tabell1345[[#This Row],[Nr]],$BV$3:$CB$11,2,TRUE)=5,VLOOKUP(Tabell1345[[#This Row],[Nr]],$BV$3:$CB$11,5,TRUE),NA())</f>
        <v>#N/A</v>
      </c>
      <c r="AN18" t="e">
        <f ca="1">IF(VLOOKUP(Tabell1345[[#This Row],[Nr]],$BV$3:$CB$11,2,TRUE)=6,VLOOKUP(Tabell1345[[#This Row],[Nr]],$BV$3:$CB$11,5,TRUE),NA())</f>
        <v>#N/A</v>
      </c>
      <c r="AO18" t="e">
        <f ca="1">IF(VLOOKUP(Tabell1345[[#This Row],[Nr]],$BV$3:$CB$11,2,TRUE)=7,VLOOKUP(Tabell1345[[#This Row],[Nr]],$BV$3:$CB$11,5,TRUE),NA())</f>
        <v>#N/A</v>
      </c>
      <c r="AP18">
        <f ca="1">IF(VLOOKUP(Tabell1345[[#This Row],[Nr]],$BV$3:$CB$11,2,TRUE)=1,Tabell1345[[#This Row],[Verdi_korrigert_IT]],NA())</f>
        <v>47</v>
      </c>
      <c r="AQ18" t="e">
        <f ca="1">IF(VLOOKUP(Tabell1345[[#This Row],[Nr]],$BV$3:$CB$11,2,TRUE)=2,Tabell1345[[#This Row],[Verdi_korrigert_IT]],NA())</f>
        <v>#N/A</v>
      </c>
      <c r="AR18" t="e">
        <f ca="1">IF(VLOOKUP(Tabell1345[[#This Row],[Nr]],$BV$3:$CB$11,2,TRUE)=3,Tabell1345[[#This Row],[Verdi_korrigert_IT]],NA())</f>
        <v>#N/A</v>
      </c>
      <c r="AS18" t="e">
        <f ca="1">IF(VLOOKUP(Tabell1345[[#This Row],[Nr]],$BV$3:$CB$11,2,TRUE)=4,Tabell1345[[#This Row],[Verdi_korrigert_IT]],NA())</f>
        <v>#N/A</v>
      </c>
      <c r="AT18" t="e">
        <f ca="1">IF(VLOOKUP(Tabell1345[[#This Row],[Nr]],$BV$3:$CB$11,2,TRUE)=5,Tabell1345[[#This Row],[Verdi_korrigert_IT]],NA())</f>
        <v>#N/A</v>
      </c>
      <c r="AU18" t="e">
        <f ca="1">IF(VLOOKUP(Tabell1345[[#This Row],[Nr]],$BV$3:$CB$11,2,TRUE)=6,Tabell1345[[#This Row],[Verdi_korrigert_IT]],NA())</f>
        <v>#N/A</v>
      </c>
      <c r="AV18" t="e">
        <f ca="1">IF(VLOOKUP(Tabell1345[[#This Row],[Nr]],$BV$3:$CB$11,2,TRUE)=7,Tabell1345[[#This Row],[Verdi_korrigert_IT]],NA())</f>
        <v>#N/A</v>
      </c>
      <c r="AW18">
        <f ca="1">IF(Tabell1345[[#This Row],[Brudd]]&lt;&gt;"*",IF(ISNUMBER(OFFSET(Tabell1345[[#This Row],[ser_indeks]],-1,0)),OFFSET(Tabell1345[[#This Row],[ser_indeks]],-1,0),0),0)+1</f>
        <v>4</v>
      </c>
      <c r="AX18">
        <f ca="1">VLOOKUP(Tabell1345[[#This Row],[Nr]],$BV$2:$BW$9,2,TRUE)</f>
        <v>1</v>
      </c>
      <c r="AY18">
        <f ca="1">IF(OFFSET(Tabell1345[[#This Row],[ser_indeks]],1,0)&lt;Tabell1345[[#This Row],[ser_indeks]],1,0)</f>
        <v>0</v>
      </c>
      <c r="AZ18">
        <f ca="1">IFERROR(VALUE(Tabell1345[[#This Row],[Verdi_korrigert_IT]]),OFFSET(Tabell1345[[#This Row],[verdi_korrigert]],-1,0))</f>
        <v>47</v>
      </c>
      <c r="BA18">
        <f ca="1">_xlfn.RANK.AVG(Tabell1345[[#This Row],[verdi_korrigert]],Tabell1345[verdi_korrigert],1)</f>
        <v>18</v>
      </c>
      <c r="BB18">
        <f ca="1">IF(Tabell1345[[#This Row],[rang]]=OFFSET(Tabell1345[[#This Row],[rang]],1,0),1,0)</f>
        <v>0</v>
      </c>
      <c r="BC18">
        <f ca="1">IF(AND(Tabell1345[[#This Row],[rang]]&gt;=OFFSET(Tabell1345[[#This Row],[rang]],-1,0),Tabell1345[[#This Row],[ser_indeks]]&gt;1),IFERROR(VALUE(OFFSET(Tabell1345[[#This Row],[rang_stig]],-1,0)),0)+1,VALUE($CH$3)-1)-Tabell1345[[#This Row],[rang_samme]]</f>
        <v>0</v>
      </c>
      <c r="BD18">
        <f ca="1">IF(AND(Tabell1345[[#This Row],[rang]]&lt;=OFFSET(Tabell1345[[#This Row],[rang]],-1,0),Tabell1345[[#This Row],[ser_indeks]]&gt;1),IFERROR(VALUE(OFFSET(Tabell1345[[#This Row],[rang_synk]],-1,0)),0)+1,VALUE($CH$3)-1)-Tabell1345[[#This Row],[rang_samme]]</f>
        <v>1</v>
      </c>
      <c r="BE18">
        <f ca="1">MAXA(Tabell1345[[#This Row],[rang_stig]:[rang_synk]])</f>
        <v>1</v>
      </c>
      <c r="BF18">
        <f ca="1">($CH$2-1)+_xlfn.AGGREGATE(9,6,Tabell1345[[#This Row],[rang_samme]]:OFFSET(Tabell1345[[#This Row],[rang_samme]],($CH$2-1),0))</f>
        <v>5</v>
      </c>
      <c r="BG18" t="e">
        <f ca="1">IF($G$9="ja",IF(MAXA(Tabell1345[[#This Row],[rang_stigsynk]]:INDIRECT(ADDRESS(ROW(Tabell1345[[#This Row],[rang_stigsynk]])+Tabell1345[[#This Row],[trend_omr]],COLUMN(Tabell1345[[#This Row],[rang_stigsynk]]))))&gt;($CH$2-2),Tabell1345[[#This Row],[Verdi_korrigert_IT]],NA()),NA())</f>
        <v>#N/A</v>
      </c>
      <c r="BH18" s="5">
        <f ca="1">IF(Tabell1345[[#This Row],[ser_indeks]]&gt;3,_xlfn.AGGREGATE(4,4,OFFSET(Tabell1345[[#This Row],[Verdi1]],-3,Tabell1345[[#This Row],[serie_nr]]-1):OFFSET(Tabell1345[[#This Row],[Verdi1]],4,Tabell1345[[#This Row],[serie_nr]]-1)),NA())</f>
        <v>54</v>
      </c>
      <c r="BI18" s="5">
        <f ca="1">IF(Tabell1345[[#This Row],[ser_indeks]]&gt;3,_xlfn.AGGREGATE(5,4,OFFSET(Tabell1345[[#This Row],[Verdi1]],-3,Tabell1345[[#This Row],[serie_nr]]-1):OFFSET(Tabell1345[[#This Row],[Verdi1]],4,Tabell1345[[#This Row],[serie_nr]]-1)),NA())</f>
        <v>44</v>
      </c>
      <c r="BJ18" s="5">
        <f ca="1">IF(_xlfn.AGGREGATE(4,6,Tabell1345[[#This Row],[til_brudd_rader]]:OFFSET(Tabell1345[[#This Row],[til_brudd_rader]],3,0))&gt;0,NA(),IF(Tabell1345[[#This Row],[skifte_lav1]]&lt;Tabell1345[[#This Row],[Snitt]],Tabell1345[[#This Row],[Verdi_korrigert_IT]],NA()))</f>
        <v>47</v>
      </c>
      <c r="BK18" s="5" t="e">
        <f ca="1">IF(_xlfn.AGGREGATE(4,6,Tabell1345[[#This Row],[til_brudd_rader]]:OFFSET(Tabell1345[[#This Row],[til_brudd_rader]],3,0))&gt;0,NA(),IF(Tabell1345[[#This Row],[skifte_høy1]]&gt;Tabell1345[[#This Row],[Snitt]],Tabell1345[[#This Row],[Verdi_korrigert_IT]],NA()))</f>
        <v>#N/A</v>
      </c>
      <c r="BL18">
        <f ca="1">IF($G$9="ja",IFERROR(IF(_xlfn.AGGREGATE(4,6,OFFSET(Tabell1345[[#This Row],[skifte_lav2]],-4,0):OFFSET(Tabell1345[[#This Row],[skifte_lav2]],3,1))&gt;0,Tabell1345[[#This Row],[Verdi_korrigert_IT]],NA()),NA()),NA())</f>
        <v>47</v>
      </c>
      <c r="BM18" t="e">
        <f ca="1">IF($G$9="ja",IF(OR(Tabell1345[[#This Row],[Verdi_korrigert_IT]]&gt;Tabell1345[[#This Row],[UCL]],Tabell1345[[#This Row],[Verdi_korrigert_IT]]&lt;Tabell1345[[#This Row],[LCL]]),Tabell1345[[#This Row],[Verdi_korrigert_IT]],NA()),NA())</f>
        <v>#N/A</v>
      </c>
      <c r="BN18">
        <f>IF(Tabell1345[[#This Row],[Brudd]]="x","",Tabell1345[[#This Row],[Verdi]])</f>
        <v>47</v>
      </c>
      <c r="BO18">
        <f>IF(Tabell1345[[#This Row],[Brudd]]="x",NA(),Tabell1345[[#This Row],[Verdi]])</f>
        <v>47</v>
      </c>
      <c r="BP18">
        <f ca="1">IF(ISERROR(Tabell1345[[#This Row],[Verdi_korrigert_IT]]),OFFSET(Tabell1345[[#This Row],[ForrigeGyldige]],-1,0),Tabell1345[[#This Row],[Verdi]])</f>
        <v>47</v>
      </c>
      <c r="BQ18">
        <f>Tabell1345[[#This Row],[Verdi]]</f>
        <v>47</v>
      </c>
    </row>
    <row r="19" spans="1:69" x14ac:dyDescent="0.35">
      <c r="A19">
        <f ca="1">IF(ISNUMBER(OFFSET(Tabell1345[[#This Row],[Nr]],-1,0)),OFFSET(Tabell1345[[#This Row],[Nr]],-1,0))+1</f>
        <v>5</v>
      </c>
      <c r="C19" s="36">
        <v>45</v>
      </c>
      <c r="H19" t="e">
        <f t="shared" si="6"/>
        <v>#N/A</v>
      </c>
      <c r="I19" t="b">
        <f>IF(OR(Tabell1345[[#This Row],[Brudd]]="*",ROW()-ROW(Tabell1345[#All])+1=ROWS(Tabell1345[#All])),ROW())</f>
        <v>0</v>
      </c>
      <c r="J19" s="2">
        <f ca="1">VLOOKUP(Tabell1345[[#This Row],[Nr]],$BV$2:$CB$11,4,TRUE)</f>
        <v>54.583333333333336</v>
      </c>
      <c r="K19" s="2">
        <f ca="1">VLOOKUP(Tabell1345[[#This Row],[Nr]],$BV$2:$CB$11,7,TRUE)</f>
        <v>17.826969696969698</v>
      </c>
      <c r="L19" s="2">
        <f ca="1">VLOOKUP(Tabell1345[[#This Row],[Nr]],$BV$2:$CB$11,6,TRUE)</f>
        <v>91.339696969696973</v>
      </c>
      <c r="M19">
        <f ca="1">IF(OR(Tabell1345[[#This Row],[Brudd]]="*",ISERROR(Tabell1345[[#This Row],[Verdi_korrigert_IT]])),"",IF(ISNUMBER(OFFSET(Tabell1345[[#This Row],[ForrigeGyldige]],-1,0)),ABS(Tabell1345[[#This Row],[Verdi_korrigert_IT]]-OFFSET(Tabell1345[[#This Row],[ForrigeGyldige]],-1,0)),""))</f>
        <v>2</v>
      </c>
      <c r="N19">
        <f ca="1">IF(VLOOKUP(Tabell1345[[#This Row],[Nr]],$BV$3:$CB$11,2,TRUE)=1,VLOOKUP(Tabell1345[[#This Row],[Nr]],$BV$3:$CB$11,4,TRUE),NA())</f>
        <v>54.583333333333336</v>
      </c>
      <c r="O19" t="e">
        <f ca="1">IF(VLOOKUP(Tabell1345[[#This Row],[Nr]],$BV$3:$CB$11,2,TRUE)=2,VLOOKUP(Tabell1345[[#This Row],[Nr]],$BV$3:$CB$11,4,TRUE),NA())</f>
        <v>#N/A</v>
      </c>
      <c r="P19" s="2" t="e">
        <f ca="1">IF(VLOOKUP(Tabell1345[[#This Row],[Nr]],$BV$3:$CB$11,2,TRUE)=3,VLOOKUP(Tabell1345[[#This Row],[Nr]],$BV$3:$CB$11,4,TRUE),NA())</f>
        <v>#N/A</v>
      </c>
      <c r="Q19" t="e">
        <f ca="1">IF(VLOOKUP(Tabell1345[[#This Row],[Nr]],$BV$3:$CB$11,2,TRUE)=4,VLOOKUP(Tabell1345[[#This Row],[Nr]],$BV$3:$CB$11,4,TRUE),NA())</f>
        <v>#N/A</v>
      </c>
      <c r="R19" t="e">
        <f ca="1">IF(VLOOKUP(Tabell1345[[#This Row],[Nr]],$BV$3:$CB$11,2,TRUE)=5,VLOOKUP(Tabell1345[[#This Row],[Nr]],$BV$3:$CB$11,4,TRUE),NA())</f>
        <v>#N/A</v>
      </c>
      <c r="S19" t="e">
        <f ca="1">IF(VLOOKUP(Tabell1345[[#This Row],[Nr]],$BV$3:$CB$11,2,TRUE)=6,VLOOKUP(Tabell1345[[#This Row],[Nr]],$BV$3:$CB$11,4,TRUE),NA())</f>
        <v>#N/A</v>
      </c>
      <c r="T19" t="e">
        <f ca="1">IF(VLOOKUP(Tabell1345[[#This Row],[Nr]],$BV$3:$CB$11,2,TRUE)=7,VLOOKUP(Tabell1345[[#This Row],[Nr]],$BV$3:$CB$11,4,TRUE),NA())</f>
        <v>#N/A</v>
      </c>
      <c r="U19">
        <f ca="1">IF(VLOOKUP(Tabell1345[[#This Row],[Nr]],$BV$3:$CB$11,2,TRUE)=1,VLOOKUP(Tabell1345[[#This Row],[Nr]],$BV$3:$CB$11,6,TRUE),NA())</f>
        <v>91.339696969696973</v>
      </c>
      <c r="V19" t="e">
        <f ca="1">IF(VLOOKUP(Tabell1345[[#This Row],[Nr]],$BV$3:$CB$11,2,TRUE)=2,VLOOKUP(Tabell1345[[#This Row],[Nr]],$BV$3:$CB$11,6,TRUE),NA())</f>
        <v>#N/A</v>
      </c>
      <c r="W19" t="e">
        <f ca="1">IF(VLOOKUP(Tabell1345[[#This Row],[Nr]],$BV$3:$CB$11,2,TRUE)=3,VLOOKUP(Tabell1345[[#This Row],[Nr]],$BV$3:$CB$11,6,TRUE),NA())</f>
        <v>#N/A</v>
      </c>
      <c r="X19" t="e">
        <f ca="1">IF(VLOOKUP(Tabell1345[[#This Row],[Nr]],$BV$3:$CB$11,2,TRUE)=4,VLOOKUP(Tabell1345[[#This Row],[Nr]],$BV$3:$CB$11,6,TRUE),NA())</f>
        <v>#N/A</v>
      </c>
      <c r="Y19" t="e">
        <f ca="1">IF(VLOOKUP(Tabell1345[[#This Row],[Nr]],$BV$3:$CB$11,2,TRUE)=5,VLOOKUP(Tabell1345[[#This Row],[Nr]],$BV$3:$CB$11,6,TRUE),NA())</f>
        <v>#N/A</v>
      </c>
      <c r="Z19" t="e">
        <f ca="1">IF(VLOOKUP(Tabell1345[[#This Row],[Nr]],$BV$3:$CB$11,2,TRUE)=6,VLOOKUP(Tabell1345[[#This Row],[Nr]],$BV$3:$CB$11,6,TRUE),NA())</f>
        <v>#N/A</v>
      </c>
      <c r="AA19" t="e">
        <f ca="1">IF(VLOOKUP(Tabell1345[[#This Row],[Nr]],$BV$3:$CB$11,2,TRUE)=7,VLOOKUP(Tabell1345[[#This Row],[Nr]],$BV$3:$CB$11,6,TRUE),NA())</f>
        <v>#N/A</v>
      </c>
      <c r="AB19">
        <f ca="1">IF(VLOOKUP(Tabell1345[[#This Row],[Nr]],$BV$3:$CB$11,2,TRUE)=1,VLOOKUP(Tabell1345[[#This Row],[Nr]],$BV$3:$CB$11,7,TRUE),NA())</f>
        <v>17.826969696969698</v>
      </c>
      <c r="AC19" t="e">
        <f ca="1">IF(VLOOKUP(Tabell1345[[#This Row],[Nr]],$BV$3:$CB$11,2,TRUE)=2,VLOOKUP(Tabell1345[[#This Row],[Nr]],$BV$3:$CB$11,7,TRUE),NA())</f>
        <v>#N/A</v>
      </c>
      <c r="AD19" t="e">
        <f ca="1">IF(VLOOKUP(Tabell1345[[#This Row],[Nr]],$BV$3:$CB$11,2,TRUE)=3,VLOOKUP(Tabell1345[[#This Row],[Nr]],$BV$3:$CB$11,7,TRUE),NA())</f>
        <v>#N/A</v>
      </c>
      <c r="AE19" t="e">
        <f ca="1">IF(VLOOKUP(Tabell1345[[#This Row],[Nr]],$BV$3:$CB$11,2,TRUE)=4,VLOOKUP(Tabell1345[[#This Row],[Nr]],$BV$3:$CB$11,7,TRUE),NA())</f>
        <v>#N/A</v>
      </c>
      <c r="AF19" t="e">
        <f ca="1">IF(VLOOKUP(Tabell1345[[#This Row],[Nr]],$BV$3:$CB$11,2,TRUE)=5,VLOOKUP(Tabell1345[[#This Row],[Nr]],$BV$3:$CB$11,7,TRUE),NA())</f>
        <v>#N/A</v>
      </c>
      <c r="AG19" t="e">
        <f ca="1">IF(VLOOKUP(Tabell1345[[#This Row],[Nr]],$BV$3:$CB$11,2,TRUE)=6,VLOOKUP(Tabell1345[[#This Row],[Nr]],$BV$3:$CB$11,7,TRUE),NA())</f>
        <v>#N/A</v>
      </c>
      <c r="AH19" t="e">
        <f ca="1">IF(VLOOKUP(Tabell1345[[#This Row],[Nr]],$BV$3:$CB$11,2,TRUE)=7,VLOOKUP(Tabell1345[[#This Row],[Nr]],$BV$3:$CB$11,7,TRUE),NA())</f>
        <v>#N/A</v>
      </c>
      <c r="AI19">
        <f ca="1">IF(VLOOKUP(Tabell1345[[#This Row],[Nr]],$BV$3:$CB$11,2,TRUE)=1,VLOOKUP(Tabell1345[[#This Row],[Nr]],$BV$3:$CB$11,5,TRUE),NA())</f>
        <v>51.5</v>
      </c>
      <c r="AJ19" t="e">
        <f ca="1">IF(VLOOKUP(Tabell1345[[#This Row],[Nr]],$BV$3:$CB$11,2,TRUE)=2,VLOOKUP(Tabell1345[[#This Row],[Nr]],$BV$3:$CB$11,5,TRUE),NA())</f>
        <v>#N/A</v>
      </c>
      <c r="AK19" t="e">
        <f ca="1">IF(VLOOKUP(Tabell1345[[#This Row],[Nr]],$BV$3:$CB$11,2,TRUE)=3,VLOOKUP(Tabell1345[[#This Row],[Nr]],$BV$3:$CB$11,5,TRUE),NA())</f>
        <v>#N/A</v>
      </c>
      <c r="AL19" t="e">
        <f ca="1">IF(VLOOKUP(Tabell1345[[#This Row],[Nr]],$BV$3:$CB$11,2,TRUE)=4,VLOOKUP(Tabell1345[[#This Row],[Nr]],$BV$3:$CB$11,5,TRUE),NA())</f>
        <v>#N/A</v>
      </c>
      <c r="AM19" t="e">
        <f ca="1">IF(VLOOKUP(Tabell1345[[#This Row],[Nr]],$BV$3:$CB$11,2,TRUE)=5,VLOOKUP(Tabell1345[[#This Row],[Nr]],$BV$3:$CB$11,5,TRUE),NA())</f>
        <v>#N/A</v>
      </c>
      <c r="AN19" t="e">
        <f ca="1">IF(VLOOKUP(Tabell1345[[#This Row],[Nr]],$BV$3:$CB$11,2,TRUE)=6,VLOOKUP(Tabell1345[[#This Row],[Nr]],$BV$3:$CB$11,5,TRUE),NA())</f>
        <v>#N/A</v>
      </c>
      <c r="AO19" t="e">
        <f ca="1">IF(VLOOKUP(Tabell1345[[#This Row],[Nr]],$BV$3:$CB$11,2,TRUE)=7,VLOOKUP(Tabell1345[[#This Row],[Nr]],$BV$3:$CB$11,5,TRUE),NA())</f>
        <v>#N/A</v>
      </c>
      <c r="AP19">
        <f ca="1">IF(VLOOKUP(Tabell1345[[#This Row],[Nr]],$BV$3:$CB$11,2,TRUE)=1,Tabell1345[[#This Row],[Verdi_korrigert_IT]],NA())</f>
        <v>45</v>
      </c>
      <c r="AQ19" t="e">
        <f ca="1">IF(VLOOKUP(Tabell1345[[#This Row],[Nr]],$BV$3:$CB$11,2,TRUE)=2,Tabell1345[[#This Row],[Verdi_korrigert_IT]],NA())</f>
        <v>#N/A</v>
      </c>
      <c r="AR19" t="e">
        <f ca="1">IF(VLOOKUP(Tabell1345[[#This Row],[Nr]],$BV$3:$CB$11,2,TRUE)=3,Tabell1345[[#This Row],[Verdi_korrigert_IT]],NA())</f>
        <v>#N/A</v>
      </c>
      <c r="AS19" t="e">
        <f ca="1">IF(VLOOKUP(Tabell1345[[#This Row],[Nr]],$BV$3:$CB$11,2,TRUE)=4,Tabell1345[[#This Row],[Verdi_korrigert_IT]],NA())</f>
        <v>#N/A</v>
      </c>
      <c r="AT19" t="e">
        <f ca="1">IF(VLOOKUP(Tabell1345[[#This Row],[Nr]],$BV$3:$CB$11,2,TRUE)=5,Tabell1345[[#This Row],[Verdi_korrigert_IT]],NA())</f>
        <v>#N/A</v>
      </c>
      <c r="AU19" t="e">
        <f ca="1">IF(VLOOKUP(Tabell1345[[#This Row],[Nr]],$BV$3:$CB$11,2,TRUE)=6,Tabell1345[[#This Row],[Verdi_korrigert_IT]],NA())</f>
        <v>#N/A</v>
      </c>
      <c r="AV19" t="e">
        <f ca="1">IF(VLOOKUP(Tabell1345[[#This Row],[Nr]],$BV$3:$CB$11,2,TRUE)=7,Tabell1345[[#This Row],[Verdi_korrigert_IT]],NA())</f>
        <v>#N/A</v>
      </c>
      <c r="AW19">
        <f ca="1">IF(Tabell1345[[#This Row],[Brudd]]&lt;&gt;"*",IF(ISNUMBER(OFFSET(Tabell1345[[#This Row],[ser_indeks]],-1,0)),OFFSET(Tabell1345[[#This Row],[ser_indeks]],-1,0),0),0)+1</f>
        <v>5</v>
      </c>
      <c r="AX19">
        <f ca="1">VLOOKUP(Tabell1345[[#This Row],[Nr]],$BV$2:$BW$9,2,TRUE)</f>
        <v>1</v>
      </c>
      <c r="AY19">
        <f ca="1">IF(OFFSET(Tabell1345[[#This Row],[ser_indeks]],1,0)&lt;Tabell1345[[#This Row],[ser_indeks]],1,0)</f>
        <v>0</v>
      </c>
      <c r="AZ19">
        <f ca="1">IFERROR(VALUE(Tabell1345[[#This Row],[Verdi_korrigert_IT]]),OFFSET(Tabell1345[[#This Row],[verdi_korrigert]],-1,0))</f>
        <v>45</v>
      </c>
      <c r="BA19">
        <f ca="1">_xlfn.RANK.AVG(Tabell1345[[#This Row],[verdi_korrigert]],Tabell1345[verdi_korrigert],1)</f>
        <v>17</v>
      </c>
      <c r="BB19">
        <f ca="1">IF(Tabell1345[[#This Row],[rang]]=OFFSET(Tabell1345[[#This Row],[rang]],1,0),1,0)</f>
        <v>0</v>
      </c>
      <c r="BC19">
        <f ca="1">IF(AND(Tabell1345[[#This Row],[rang]]&gt;=OFFSET(Tabell1345[[#This Row],[rang]],-1,0),Tabell1345[[#This Row],[ser_indeks]]&gt;1),IFERROR(VALUE(OFFSET(Tabell1345[[#This Row],[rang_stig]],-1,0)),0)+1,VALUE($CH$3)-1)-Tabell1345[[#This Row],[rang_samme]]</f>
        <v>0</v>
      </c>
      <c r="BD19">
        <f ca="1">IF(AND(Tabell1345[[#This Row],[rang]]&lt;=OFFSET(Tabell1345[[#This Row],[rang]],-1,0),Tabell1345[[#This Row],[ser_indeks]]&gt;1),IFERROR(VALUE(OFFSET(Tabell1345[[#This Row],[rang_synk]],-1,0)),0)+1,VALUE($CH$3)-1)-Tabell1345[[#This Row],[rang_samme]]</f>
        <v>2</v>
      </c>
      <c r="BE19">
        <f ca="1">MAXA(Tabell1345[[#This Row],[rang_stig]:[rang_synk]])</f>
        <v>2</v>
      </c>
      <c r="BF19">
        <f ca="1">($CH$2-1)+_xlfn.AGGREGATE(9,6,Tabell1345[[#This Row],[rang_samme]]:OFFSET(Tabell1345[[#This Row],[rang_samme]],($CH$2-1),0))</f>
        <v>6</v>
      </c>
      <c r="BG19" t="e">
        <f ca="1">IF($G$9="ja",IF(MAXA(Tabell1345[[#This Row],[rang_stigsynk]]:INDIRECT(ADDRESS(ROW(Tabell1345[[#This Row],[rang_stigsynk]])+Tabell1345[[#This Row],[trend_omr]],COLUMN(Tabell1345[[#This Row],[rang_stigsynk]]))))&gt;($CH$2-2),Tabell1345[[#This Row],[Verdi_korrigert_IT]],NA()),NA())</f>
        <v>#N/A</v>
      </c>
      <c r="BH19" s="5">
        <f ca="1">IF(Tabell1345[[#This Row],[ser_indeks]]&gt;3,_xlfn.AGGREGATE(4,4,OFFSET(Tabell1345[[#This Row],[Verdi1]],-3,Tabell1345[[#This Row],[serie_nr]]-1):OFFSET(Tabell1345[[#This Row],[Verdi1]],4,Tabell1345[[#This Row],[serie_nr]]-1)),NA())</f>
        <v>100</v>
      </c>
      <c r="BI19" s="5">
        <f ca="1">IF(Tabell1345[[#This Row],[ser_indeks]]&gt;3,_xlfn.AGGREGATE(5,4,OFFSET(Tabell1345[[#This Row],[Verdi1]],-3,Tabell1345[[#This Row],[serie_nr]]-1):OFFSET(Tabell1345[[#This Row],[Verdi1]],4,Tabell1345[[#This Row],[serie_nr]]-1)),NA())</f>
        <v>44</v>
      </c>
      <c r="BJ19" s="5" t="e">
        <f ca="1">IF(_xlfn.AGGREGATE(4,6,Tabell1345[[#This Row],[til_brudd_rader]]:OFFSET(Tabell1345[[#This Row],[til_brudd_rader]],3,0))&gt;0,NA(),IF(Tabell1345[[#This Row],[skifte_lav1]]&lt;Tabell1345[[#This Row],[Snitt]],Tabell1345[[#This Row],[Verdi_korrigert_IT]],NA()))</f>
        <v>#N/A</v>
      </c>
      <c r="BK19" s="5" t="e">
        <f ca="1">IF(_xlfn.AGGREGATE(4,6,Tabell1345[[#This Row],[til_brudd_rader]]:OFFSET(Tabell1345[[#This Row],[til_brudd_rader]],3,0))&gt;0,NA(),IF(Tabell1345[[#This Row],[skifte_høy1]]&gt;Tabell1345[[#This Row],[Snitt]],Tabell1345[[#This Row],[Verdi_korrigert_IT]],NA()))</f>
        <v>#N/A</v>
      </c>
      <c r="BL19">
        <f ca="1">IF($G$9="ja",IFERROR(IF(_xlfn.AGGREGATE(4,6,OFFSET(Tabell1345[[#This Row],[skifte_lav2]],-4,0):OFFSET(Tabell1345[[#This Row],[skifte_lav2]],3,1))&gt;0,Tabell1345[[#This Row],[Verdi_korrigert_IT]],NA()),NA()),NA())</f>
        <v>45</v>
      </c>
      <c r="BM19" t="e">
        <f ca="1">IF($G$9="ja",IF(OR(Tabell1345[[#This Row],[Verdi_korrigert_IT]]&gt;Tabell1345[[#This Row],[UCL]],Tabell1345[[#This Row],[Verdi_korrigert_IT]]&lt;Tabell1345[[#This Row],[LCL]]),Tabell1345[[#This Row],[Verdi_korrigert_IT]],NA()),NA())</f>
        <v>#N/A</v>
      </c>
      <c r="BN19">
        <f>IF(Tabell1345[[#This Row],[Brudd]]="x","",Tabell1345[[#This Row],[Verdi]])</f>
        <v>45</v>
      </c>
      <c r="BO19">
        <f>IF(Tabell1345[[#This Row],[Brudd]]="x",NA(),Tabell1345[[#This Row],[Verdi]])</f>
        <v>45</v>
      </c>
      <c r="BP19">
        <f ca="1">IF(ISERROR(Tabell1345[[#This Row],[Verdi_korrigert_IT]]),OFFSET(Tabell1345[[#This Row],[ForrigeGyldige]],-1,0),Tabell1345[[#This Row],[Verdi]])</f>
        <v>45</v>
      </c>
      <c r="BQ19">
        <f>Tabell1345[[#This Row],[Verdi]]</f>
        <v>45</v>
      </c>
    </row>
    <row r="20" spans="1:69" x14ac:dyDescent="0.35">
      <c r="A20">
        <f ca="1">IF(ISNUMBER(OFFSET(Tabell1345[[#This Row],[Nr]],-1,0)),OFFSET(Tabell1345[[#This Row],[Nr]],-1,0))+1</f>
        <v>6</v>
      </c>
      <c r="C20" s="36">
        <v>49</v>
      </c>
      <c r="H20" t="e">
        <f t="shared" si="6"/>
        <v>#N/A</v>
      </c>
      <c r="I20" t="b">
        <f>IF(OR(Tabell1345[[#This Row],[Brudd]]="*",ROW()-ROW(Tabell1345[#All])+1=ROWS(Tabell1345[#All])),ROW())</f>
        <v>0</v>
      </c>
      <c r="J20" s="2">
        <f ca="1">VLOOKUP(Tabell1345[[#This Row],[Nr]],$BV$2:$CB$11,4,TRUE)</f>
        <v>54.583333333333336</v>
      </c>
      <c r="K20" s="2">
        <f ca="1">VLOOKUP(Tabell1345[[#This Row],[Nr]],$BV$2:$CB$11,7,TRUE)</f>
        <v>17.826969696969698</v>
      </c>
      <c r="L20" s="2">
        <f ca="1">VLOOKUP(Tabell1345[[#This Row],[Nr]],$BV$2:$CB$11,6,TRUE)</f>
        <v>91.339696969696973</v>
      </c>
      <c r="M20">
        <f ca="1">IF(OR(Tabell1345[[#This Row],[Brudd]]="*",ISERROR(Tabell1345[[#This Row],[Verdi_korrigert_IT]])),"",IF(ISNUMBER(OFFSET(Tabell1345[[#This Row],[ForrigeGyldige]],-1,0)),ABS(Tabell1345[[#This Row],[Verdi_korrigert_IT]]-OFFSET(Tabell1345[[#This Row],[ForrigeGyldige]],-1,0)),""))</f>
        <v>4</v>
      </c>
      <c r="N20">
        <f ca="1">IF(VLOOKUP(Tabell1345[[#This Row],[Nr]],$BV$3:$CB$11,2,TRUE)=1,VLOOKUP(Tabell1345[[#This Row],[Nr]],$BV$3:$CB$11,4,TRUE),NA())</f>
        <v>54.583333333333336</v>
      </c>
      <c r="O20" t="e">
        <f ca="1">IF(VLOOKUP(Tabell1345[[#This Row],[Nr]],$BV$3:$CB$11,2,TRUE)=2,VLOOKUP(Tabell1345[[#This Row],[Nr]],$BV$3:$CB$11,4,TRUE),NA())</f>
        <v>#N/A</v>
      </c>
      <c r="P20" s="2" t="e">
        <f ca="1">IF(VLOOKUP(Tabell1345[[#This Row],[Nr]],$BV$3:$CB$11,2,TRUE)=3,VLOOKUP(Tabell1345[[#This Row],[Nr]],$BV$3:$CB$11,4,TRUE),NA())</f>
        <v>#N/A</v>
      </c>
      <c r="Q20" t="e">
        <f ca="1">IF(VLOOKUP(Tabell1345[[#This Row],[Nr]],$BV$3:$CB$11,2,TRUE)=4,VLOOKUP(Tabell1345[[#This Row],[Nr]],$BV$3:$CB$11,4,TRUE),NA())</f>
        <v>#N/A</v>
      </c>
      <c r="R20" t="e">
        <f ca="1">IF(VLOOKUP(Tabell1345[[#This Row],[Nr]],$BV$3:$CB$11,2,TRUE)=5,VLOOKUP(Tabell1345[[#This Row],[Nr]],$BV$3:$CB$11,4,TRUE),NA())</f>
        <v>#N/A</v>
      </c>
      <c r="S20" t="e">
        <f ca="1">IF(VLOOKUP(Tabell1345[[#This Row],[Nr]],$BV$3:$CB$11,2,TRUE)=6,VLOOKUP(Tabell1345[[#This Row],[Nr]],$BV$3:$CB$11,4,TRUE),NA())</f>
        <v>#N/A</v>
      </c>
      <c r="T20" t="e">
        <f ca="1">IF(VLOOKUP(Tabell1345[[#This Row],[Nr]],$BV$3:$CB$11,2,TRUE)=7,VLOOKUP(Tabell1345[[#This Row],[Nr]],$BV$3:$CB$11,4,TRUE),NA())</f>
        <v>#N/A</v>
      </c>
      <c r="U20">
        <f ca="1">IF(VLOOKUP(Tabell1345[[#This Row],[Nr]],$BV$3:$CB$11,2,TRUE)=1,VLOOKUP(Tabell1345[[#This Row],[Nr]],$BV$3:$CB$11,6,TRUE),NA())</f>
        <v>91.339696969696973</v>
      </c>
      <c r="V20" t="e">
        <f ca="1">IF(VLOOKUP(Tabell1345[[#This Row],[Nr]],$BV$3:$CB$11,2,TRUE)=2,VLOOKUP(Tabell1345[[#This Row],[Nr]],$BV$3:$CB$11,6,TRUE),NA())</f>
        <v>#N/A</v>
      </c>
      <c r="W20" t="e">
        <f ca="1">IF(VLOOKUP(Tabell1345[[#This Row],[Nr]],$BV$3:$CB$11,2,TRUE)=3,VLOOKUP(Tabell1345[[#This Row],[Nr]],$BV$3:$CB$11,6,TRUE),NA())</f>
        <v>#N/A</v>
      </c>
      <c r="X20" t="e">
        <f ca="1">IF(VLOOKUP(Tabell1345[[#This Row],[Nr]],$BV$3:$CB$11,2,TRUE)=4,VLOOKUP(Tabell1345[[#This Row],[Nr]],$BV$3:$CB$11,6,TRUE),NA())</f>
        <v>#N/A</v>
      </c>
      <c r="Y20" t="e">
        <f ca="1">IF(VLOOKUP(Tabell1345[[#This Row],[Nr]],$BV$3:$CB$11,2,TRUE)=5,VLOOKUP(Tabell1345[[#This Row],[Nr]],$BV$3:$CB$11,6,TRUE),NA())</f>
        <v>#N/A</v>
      </c>
      <c r="Z20" t="e">
        <f ca="1">IF(VLOOKUP(Tabell1345[[#This Row],[Nr]],$BV$3:$CB$11,2,TRUE)=6,VLOOKUP(Tabell1345[[#This Row],[Nr]],$BV$3:$CB$11,6,TRUE),NA())</f>
        <v>#N/A</v>
      </c>
      <c r="AA20" t="e">
        <f ca="1">IF(VLOOKUP(Tabell1345[[#This Row],[Nr]],$BV$3:$CB$11,2,TRUE)=7,VLOOKUP(Tabell1345[[#This Row],[Nr]],$BV$3:$CB$11,6,TRUE),NA())</f>
        <v>#N/A</v>
      </c>
      <c r="AB20">
        <f ca="1">IF(VLOOKUP(Tabell1345[[#This Row],[Nr]],$BV$3:$CB$11,2,TRUE)=1,VLOOKUP(Tabell1345[[#This Row],[Nr]],$BV$3:$CB$11,7,TRUE),NA())</f>
        <v>17.826969696969698</v>
      </c>
      <c r="AC20" t="e">
        <f ca="1">IF(VLOOKUP(Tabell1345[[#This Row],[Nr]],$BV$3:$CB$11,2,TRUE)=2,VLOOKUP(Tabell1345[[#This Row],[Nr]],$BV$3:$CB$11,7,TRUE),NA())</f>
        <v>#N/A</v>
      </c>
      <c r="AD20" t="e">
        <f ca="1">IF(VLOOKUP(Tabell1345[[#This Row],[Nr]],$BV$3:$CB$11,2,TRUE)=3,VLOOKUP(Tabell1345[[#This Row],[Nr]],$BV$3:$CB$11,7,TRUE),NA())</f>
        <v>#N/A</v>
      </c>
      <c r="AE20" t="e">
        <f ca="1">IF(VLOOKUP(Tabell1345[[#This Row],[Nr]],$BV$3:$CB$11,2,TRUE)=4,VLOOKUP(Tabell1345[[#This Row],[Nr]],$BV$3:$CB$11,7,TRUE),NA())</f>
        <v>#N/A</v>
      </c>
      <c r="AF20" t="e">
        <f ca="1">IF(VLOOKUP(Tabell1345[[#This Row],[Nr]],$BV$3:$CB$11,2,TRUE)=5,VLOOKUP(Tabell1345[[#This Row],[Nr]],$BV$3:$CB$11,7,TRUE),NA())</f>
        <v>#N/A</v>
      </c>
      <c r="AG20" t="e">
        <f ca="1">IF(VLOOKUP(Tabell1345[[#This Row],[Nr]],$BV$3:$CB$11,2,TRUE)=6,VLOOKUP(Tabell1345[[#This Row],[Nr]],$BV$3:$CB$11,7,TRUE),NA())</f>
        <v>#N/A</v>
      </c>
      <c r="AH20" t="e">
        <f ca="1">IF(VLOOKUP(Tabell1345[[#This Row],[Nr]],$BV$3:$CB$11,2,TRUE)=7,VLOOKUP(Tabell1345[[#This Row],[Nr]],$BV$3:$CB$11,7,TRUE),NA())</f>
        <v>#N/A</v>
      </c>
      <c r="AI20">
        <f ca="1">IF(VLOOKUP(Tabell1345[[#This Row],[Nr]],$BV$3:$CB$11,2,TRUE)=1,VLOOKUP(Tabell1345[[#This Row],[Nr]],$BV$3:$CB$11,5,TRUE),NA())</f>
        <v>51.5</v>
      </c>
      <c r="AJ20" t="e">
        <f ca="1">IF(VLOOKUP(Tabell1345[[#This Row],[Nr]],$BV$3:$CB$11,2,TRUE)=2,VLOOKUP(Tabell1345[[#This Row],[Nr]],$BV$3:$CB$11,5,TRUE),NA())</f>
        <v>#N/A</v>
      </c>
      <c r="AK20" t="e">
        <f ca="1">IF(VLOOKUP(Tabell1345[[#This Row],[Nr]],$BV$3:$CB$11,2,TRUE)=3,VLOOKUP(Tabell1345[[#This Row],[Nr]],$BV$3:$CB$11,5,TRUE),NA())</f>
        <v>#N/A</v>
      </c>
      <c r="AL20" t="e">
        <f ca="1">IF(VLOOKUP(Tabell1345[[#This Row],[Nr]],$BV$3:$CB$11,2,TRUE)=4,VLOOKUP(Tabell1345[[#This Row],[Nr]],$BV$3:$CB$11,5,TRUE),NA())</f>
        <v>#N/A</v>
      </c>
      <c r="AM20" t="e">
        <f ca="1">IF(VLOOKUP(Tabell1345[[#This Row],[Nr]],$BV$3:$CB$11,2,TRUE)=5,VLOOKUP(Tabell1345[[#This Row],[Nr]],$BV$3:$CB$11,5,TRUE),NA())</f>
        <v>#N/A</v>
      </c>
      <c r="AN20" t="e">
        <f ca="1">IF(VLOOKUP(Tabell1345[[#This Row],[Nr]],$BV$3:$CB$11,2,TRUE)=6,VLOOKUP(Tabell1345[[#This Row],[Nr]],$BV$3:$CB$11,5,TRUE),NA())</f>
        <v>#N/A</v>
      </c>
      <c r="AO20" t="e">
        <f ca="1">IF(VLOOKUP(Tabell1345[[#This Row],[Nr]],$BV$3:$CB$11,2,TRUE)=7,VLOOKUP(Tabell1345[[#This Row],[Nr]],$BV$3:$CB$11,5,TRUE),NA())</f>
        <v>#N/A</v>
      </c>
      <c r="AP20">
        <f ca="1">IF(VLOOKUP(Tabell1345[[#This Row],[Nr]],$BV$3:$CB$11,2,TRUE)=1,Tabell1345[[#This Row],[Verdi_korrigert_IT]],NA())</f>
        <v>49</v>
      </c>
      <c r="AQ20" t="e">
        <f ca="1">IF(VLOOKUP(Tabell1345[[#This Row],[Nr]],$BV$3:$CB$11,2,TRUE)=2,Tabell1345[[#This Row],[Verdi_korrigert_IT]],NA())</f>
        <v>#N/A</v>
      </c>
      <c r="AR20" t="e">
        <f ca="1">IF(VLOOKUP(Tabell1345[[#This Row],[Nr]],$BV$3:$CB$11,2,TRUE)=3,Tabell1345[[#This Row],[Verdi_korrigert_IT]],NA())</f>
        <v>#N/A</v>
      </c>
      <c r="AS20" t="e">
        <f ca="1">IF(VLOOKUP(Tabell1345[[#This Row],[Nr]],$BV$3:$CB$11,2,TRUE)=4,Tabell1345[[#This Row],[Verdi_korrigert_IT]],NA())</f>
        <v>#N/A</v>
      </c>
      <c r="AT20" t="e">
        <f ca="1">IF(VLOOKUP(Tabell1345[[#This Row],[Nr]],$BV$3:$CB$11,2,TRUE)=5,Tabell1345[[#This Row],[Verdi_korrigert_IT]],NA())</f>
        <v>#N/A</v>
      </c>
      <c r="AU20" t="e">
        <f ca="1">IF(VLOOKUP(Tabell1345[[#This Row],[Nr]],$BV$3:$CB$11,2,TRUE)=6,Tabell1345[[#This Row],[Verdi_korrigert_IT]],NA())</f>
        <v>#N/A</v>
      </c>
      <c r="AV20" t="e">
        <f ca="1">IF(VLOOKUP(Tabell1345[[#This Row],[Nr]],$BV$3:$CB$11,2,TRUE)=7,Tabell1345[[#This Row],[Verdi_korrigert_IT]],NA())</f>
        <v>#N/A</v>
      </c>
      <c r="AW20">
        <f ca="1">IF(Tabell1345[[#This Row],[Brudd]]&lt;&gt;"*",IF(ISNUMBER(OFFSET(Tabell1345[[#This Row],[ser_indeks]],-1,0)),OFFSET(Tabell1345[[#This Row],[ser_indeks]],-1,0),0),0)+1</f>
        <v>6</v>
      </c>
      <c r="AX20">
        <f ca="1">VLOOKUP(Tabell1345[[#This Row],[Nr]],$BV$2:$BW$9,2,TRUE)</f>
        <v>1</v>
      </c>
      <c r="AY20">
        <f ca="1">IF(OFFSET(Tabell1345[[#This Row],[ser_indeks]],1,0)&lt;Tabell1345[[#This Row],[ser_indeks]],1,0)</f>
        <v>0</v>
      </c>
      <c r="AZ20">
        <f ca="1">IFERROR(VALUE(Tabell1345[[#This Row],[Verdi_korrigert_IT]]),OFFSET(Tabell1345[[#This Row],[verdi_korrigert]],-1,0))</f>
        <v>49</v>
      </c>
      <c r="BA20">
        <f ca="1">_xlfn.RANK.AVG(Tabell1345[[#This Row],[verdi_korrigert]],Tabell1345[verdi_korrigert],1)</f>
        <v>20</v>
      </c>
      <c r="BB20">
        <f ca="1">IF(Tabell1345[[#This Row],[rang]]=OFFSET(Tabell1345[[#This Row],[rang]],1,0),1,0)</f>
        <v>0</v>
      </c>
      <c r="BC20">
        <f ca="1">IF(AND(Tabell1345[[#This Row],[rang]]&gt;=OFFSET(Tabell1345[[#This Row],[rang]],-1,0),Tabell1345[[#This Row],[ser_indeks]]&gt;1),IFERROR(VALUE(OFFSET(Tabell1345[[#This Row],[rang_stig]],-1,0)),0)+1,VALUE($CH$3)-1)-Tabell1345[[#This Row],[rang_samme]]</f>
        <v>1</v>
      </c>
      <c r="BD20">
        <f ca="1">IF(AND(Tabell1345[[#This Row],[rang]]&lt;=OFFSET(Tabell1345[[#This Row],[rang]],-1,0),Tabell1345[[#This Row],[ser_indeks]]&gt;1),IFERROR(VALUE(OFFSET(Tabell1345[[#This Row],[rang_synk]],-1,0)),0)+1,VALUE($CH$3)-1)-Tabell1345[[#This Row],[rang_samme]]</f>
        <v>0</v>
      </c>
      <c r="BE20">
        <f ca="1">MAXA(Tabell1345[[#This Row],[rang_stig]:[rang_synk]])</f>
        <v>1</v>
      </c>
      <c r="BF20">
        <f ca="1">($CH$2-1)+_xlfn.AGGREGATE(9,6,Tabell1345[[#This Row],[rang_samme]]:OFFSET(Tabell1345[[#This Row],[rang_samme]],($CH$2-1),0))</f>
        <v>6</v>
      </c>
      <c r="BG20" t="e">
        <f ca="1">IF($G$9="ja",IF(MAXA(Tabell1345[[#This Row],[rang_stigsynk]]:INDIRECT(ADDRESS(ROW(Tabell1345[[#This Row],[rang_stigsynk]])+Tabell1345[[#This Row],[trend_omr]],COLUMN(Tabell1345[[#This Row],[rang_stigsynk]]))))&gt;($CH$2-2),Tabell1345[[#This Row],[Verdi_korrigert_IT]],NA()),NA())</f>
        <v>#N/A</v>
      </c>
      <c r="BH20" s="5">
        <f ca="1">IF(Tabell1345[[#This Row],[ser_indeks]]&gt;3,_xlfn.AGGREGATE(4,4,OFFSET(Tabell1345[[#This Row],[Verdi1]],-3,Tabell1345[[#This Row],[serie_nr]]-1):OFFSET(Tabell1345[[#This Row],[Verdi1]],4,Tabell1345[[#This Row],[serie_nr]]-1)),NA())</f>
        <v>100</v>
      </c>
      <c r="BI20" s="5">
        <f ca="1">IF(Tabell1345[[#This Row],[ser_indeks]]&gt;3,_xlfn.AGGREGATE(5,4,OFFSET(Tabell1345[[#This Row],[Verdi1]],-3,Tabell1345[[#This Row],[serie_nr]]-1):OFFSET(Tabell1345[[#This Row],[Verdi1]],4,Tabell1345[[#This Row],[serie_nr]]-1)),NA())</f>
        <v>44</v>
      </c>
      <c r="BJ20" s="5" t="e">
        <f ca="1">IF(_xlfn.AGGREGATE(4,6,Tabell1345[[#This Row],[til_brudd_rader]]:OFFSET(Tabell1345[[#This Row],[til_brudd_rader]],3,0))&gt;0,NA(),IF(Tabell1345[[#This Row],[skifte_lav1]]&lt;Tabell1345[[#This Row],[Snitt]],Tabell1345[[#This Row],[Verdi_korrigert_IT]],NA()))</f>
        <v>#N/A</v>
      </c>
      <c r="BK20" s="5" t="e">
        <f ca="1">IF(_xlfn.AGGREGATE(4,6,Tabell1345[[#This Row],[til_brudd_rader]]:OFFSET(Tabell1345[[#This Row],[til_brudd_rader]],3,0))&gt;0,NA(),IF(Tabell1345[[#This Row],[skifte_høy1]]&gt;Tabell1345[[#This Row],[Snitt]],Tabell1345[[#This Row],[Verdi_korrigert_IT]],NA()))</f>
        <v>#N/A</v>
      </c>
      <c r="BL20">
        <f ca="1">IF($G$9="ja",IFERROR(IF(_xlfn.AGGREGATE(4,6,OFFSET(Tabell1345[[#This Row],[skifte_lav2]],-4,0):OFFSET(Tabell1345[[#This Row],[skifte_lav2]],3,1))&gt;0,Tabell1345[[#This Row],[Verdi_korrigert_IT]],NA()),NA()),NA())</f>
        <v>49</v>
      </c>
      <c r="BM20" t="e">
        <f ca="1">IF($G$9="ja",IF(OR(Tabell1345[[#This Row],[Verdi_korrigert_IT]]&gt;Tabell1345[[#This Row],[UCL]],Tabell1345[[#This Row],[Verdi_korrigert_IT]]&lt;Tabell1345[[#This Row],[LCL]]),Tabell1345[[#This Row],[Verdi_korrigert_IT]],NA()),NA())</f>
        <v>#N/A</v>
      </c>
      <c r="BN20">
        <f>IF(Tabell1345[[#This Row],[Brudd]]="x","",Tabell1345[[#This Row],[Verdi]])</f>
        <v>49</v>
      </c>
      <c r="BO20">
        <f>IF(Tabell1345[[#This Row],[Brudd]]="x",NA(),Tabell1345[[#This Row],[Verdi]])</f>
        <v>49</v>
      </c>
      <c r="BP20">
        <f ca="1">IF(ISERROR(Tabell1345[[#This Row],[Verdi_korrigert_IT]]),OFFSET(Tabell1345[[#This Row],[ForrigeGyldige]],-1,0),Tabell1345[[#This Row],[Verdi]])</f>
        <v>49</v>
      </c>
      <c r="BQ20">
        <f>Tabell1345[[#This Row],[Verdi]]</f>
        <v>49</v>
      </c>
    </row>
    <row r="21" spans="1:69" x14ac:dyDescent="0.35">
      <c r="A21">
        <f ca="1">IF(ISNUMBER(OFFSET(Tabell1345[[#This Row],[Nr]],-1,0)),OFFSET(Tabell1345[[#This Row],[Nr]],-1,0))+1</f>
        <v>7</v>
      </c>
      <c r="C21" s="36">
        <v>53</v>
      </c>
      <c r="H21" t="e">
        <f t="shared" si="6"/>
        <v>#N/A</v>
      </c>
      <c r="I21" t="b">
        <f>IF(OR(Tabell1345[[#This Row],[Brudd]]="*",ROW()-ROW(Tabell1345[#All])+1=ROWS(Tabell1345[#All])),ROW())</f>
        <v>0</v>
      </c>
      <c r="J21" s="2">
        <f ca="1">VLOOKUP(Tabell1345[[#This Row],[Nr]],$BV$2:$CB$11,4,TRUE)</f>
        <v>54.583333333333336</v>
      </c>
      <c r="K21" s="2">
        <f ca="1">VLOOKUP(Tabell1345[[#This Row],[Nr]],$BV$2:$CB$11,7,TRUE)</f>
        <v>17.826969696969698</v>
      </c>
      <c r="L21" s="2">
        <f ca="1">VLOOKUP(Tabell1345[[#This Row],[Nr]],$BV$2:$CB$11,6,TRUE)</f>
        <v>91.339696969696973</v>
      </c>
      <c r="M21">
        <f ca="1">IF(OR(Tabell1345[[#This Row],[Brudd]]="*",ISERROR(Tabell1345[[#This Row],[Verdi_korrigert_IT]])),"",IF(ISNUMBER(OFFSET(Tabell1345[[#This Row],[ForrigeGyldige]],-1,0)),ABS(Tabell1345[[#This Row],[Verdi_korrigert_IT]]-OFFSET(Tabell1345[[#This Row],[ForrigeGyldige]],-1,0)),""))</f>
        <v>4</v>
      </c>
      <c r="N21">
        <f ca="1">IF(VLOOKUP(Tabell1345[[#This Row],[Nr]],$BV$3:$CB$11,2,TRUE)=1,VLOOKUP(Tabell1345[[#This Row],[Nr]],$BV$3:$CB$11,4,TRUE),NA())</f>
        <v>54.583333333333336</v>
      </c>
      <c r="O21" t="e">
        <f ca="1">IF(VLOOKUP(Tabell1345[[#This Row],[Nr]],$BV$3:$CB$11,2,TRUE)=2,VLOOKUP(Tabell1345[[#This Row],[Nr]],$BV$3:$CB$11,4,TRUE),NA())</f>
        <v>#N/A</v>
      </c>
      <c r="P21" s="2" t="e">
        <f ca="1">IF(VLOOKUP(Tabell1345[[#This Row],[Nr]],$BV$3:$CB$11,2,TRUE)=3,VLOOKUP(Tabell1345[[#This Row],[Nr]],$BV$3:$CB$11,4,TRUE),NA())</f>
        <v>#N/A</v>
      </c>
      <c r="Q21" t="e">
        <f ca="1">IF(VLOOKUP(Tabell1345[[#This Row],[Nr]],$BV$3:$CB$11,2,TRUE)=4,VLOOKUP(Tabell1345[[#This Row],[Nr]],$BV$3:$CB$11,4,TRUE),NA())</f>
        <v>#N/A</v>
      </c>
      <c r="R21" t="e">
        <f ca="1">IF(VLOOKUP(Tabell1345[[#This Row],[Nr]],$BV$3:$CB$11,2,TRUE)=5,VLOOKUP(Tabell1345[[#This Row],[Nr]],$BV$3:$CB$11,4,TRUE),NA())</f>
        <v>#N/A</v>
      </c>
      <c r="S21" t="e">
        <f ca="1">IF(VLOOKUP(Tabell1345[[#This Row],[Nr]],$BV$3:$CB$11,2,TRUE)=6,VLOOKUP(Tabell1345[[#This Row],[Nr]],$BV$3:$CB$11,4,TRUE),NA())</f>
        <v>#N/A</v>
      </c>
      <c r="T21" t="e">
        <f ca="1">IF(VLOOKUP(Tabell1345[[#This Row],[Nr]],$BV$3:$CB$11,2,TRUE)=7,VLOOKUP(Tabell1345[[#This Row],[Nr]],$BV$3:$CB$11,4,TRUE),NA())</f>
        <v>#N/A</v>
      </c>
      <c r="U21">
        <f ca="1">IF(VLOOKUP(Tabell1345[[#This Row],[Nr]],$BV$3:$CB$11,2,TRUE)=1,VLOOKUP(Tabell1345[[#This Row],[Nr]],$BV$3:$CB$11,6,TRUE),NA())</f>
        <v>91.339696969696973</v>
      </c>
      <c r="V21" t="e">
        <f ca="1">IF(VLOOKUP(Tabell1345[[#This Row],[Nr]],$BV$3:$CB$11,2,TRUE)=2,VLOOKUP(Tabell1345[[#This Row],[Nr]],$BV$3:$CB$11,6,TRUE),NA())</f>
        <v>#N/A</v>
      </c>
      <c r="W21" t="e">
        <f ca="1">IF(VLOOKUP(Tabell1345[[#This Row],[Nr]],$BV$3:$CB$11,2,TRUE)=3,VLOOKUP(Tabell1345[[#This Row],[Nr]],$BV$3:$CB$11,6,TRUE),NA())</f>
        <v>#N/A</v>
      </c>
      <c r="X21" t="e">
        <f ca="1">IF(VLOOKUP(Tabell1345[[#This Row],[Nr]],$BV$3:$CB$11,2,TRUE)=4,VLOOKUP(Tabell1345[[#This Row],[Nr]],$BV$3:$CB$11,6,TRUE),NA())</f>
        <v>#N/A</v>
      </c>
      <c r="Y21" t="e">
        <f ca="1">IF(VLOOKUP(Tabell1345[[#This Row],[Nr]],$BV$3:$CB$11,2,TRUE)=5,VLOOKUP(Tabell1345[[#This Row],[Nr]],$BV$3:$CB$11,6,TRUE),NA())</f>
        <v>#N/A</v>
      </c>
      <c r="Z21" t="e">
        <f ca="1">IF(VLOOKUP(Tabell1345[[#This Row],[Nr]],$BV$3:$CB$11,2,TRUE)=6,VLOOKUP(Tabell1345[[#This Row],[Nr]],$BV$3:$CB$11,6,TRUE),NA())</f>
        <v>#N/A</v>
      </c>
      <c r="AA21" t="e">
        <f ca="1">IF(VLOOKUP(Tabell1345[[#This Row],[Nr]],$BV$3:$CB$11,2,TRUE)=7,VLOOKUP(Tabell1345[[#This Row],[Nr]],$BV$3:$CB$11,6,TRUE),NA())</f>
        <v>#N/A</v>
      </c>
      <c r="AB21">
        <f ca="1">IF(VLOOKUP(Tabell1345[[#This Row],[Nr]],$BV$3:$CB$11,2,TRUE)=1,VLOOKUP(Tabell1345[[#This Row],[Nr]],$BV$3:$CB$11,7,TRUE),NA())</f>
        <v>17.826969696969698</v>
      </c>
      <c r="AC21" t="e">
        <f ca="1">IF(VLOOKUP(Tabell1345[[#This Row],[Nr]],$BV$3:$CB$11,2,TRUE)=2,VLOOKUP(Tabell1345[[#This Row],[Nr]],$BV$3:$CB$11,7,TRUE),NA())</f>
        <v>#N/A</v>
      </c>
      <c r="AD21" t="e">
        <f ca="1">IF(VLOOKUP(Tabell1345[[#This Row],[Nr]],$BV$3:$CB$11,2,TRUE)=3,VLOOKUP(Tabell1345[[#This Row],[Nr]],$BV$3:$CB$11,7,TRUE),NA())</f>
        <v>#N/A</v>
      </c>
      <c r="AE21" t="e">
        <f ca="1">IF(VLOOKUP(Tabell1345[[#This Row],[Nr]],$BV$3:$CB$11,2,TRUE)=4,VLOOKUP(Tabell1345[[#This Row],[Nr]],$BV$3:$CB$11,7,TRUE),NA())</f>
        <v>#N/A</v>
      </c>
      <c r="AF21" t="e">
        <f ca="1">IF(VLOOKUP(Tabell1345[[#This Row],[Nr]],$BV$3:$CB$11,2,TRUE)=5,VLOOKUP(Tabell1345[[#This Row],[Nr]],$BV$3:$CB$11,7,TRUE),NA())</f>
        <v>#N/A</v>
      </c>
      <c r="AG21" t="e">
        <f ca="1">IF(VLOOKUP(Tabell1345[[#This Row],[Nr]],$BV$3:$CB$11,2,TRUE)=6,VLOOKUP(Tabell1345[[#This Row],[Nr]],$BV$3:$CB$11,7,TRUE),NA())</f>
        <v>#N/A</v>
      </c>
      <c r="AH21" t="e">
        <f ca="1">IF(VLOOKUP(Tabell1345[[#This Row],[Nr]],$BV$3:$CB$11,2,TRUE)=7,VLOOKUP(Tabell1345[[#This Row],[Nr]],$BV$3:$CB$11,7,TRUE),NA())</f>
        <v>#N/A</v>
      </c>
      <c r="AI21">
        <f ca="1">IF(VLOOKUP(Tabell1345[[#This Row],[Nr]],$BV$3:$CB$11,2,TRUE)=1,VLOOKUP(Tabell1345[[#This Row],[Nr]],$BV$3:$CB$11,5,TRUE),NA())</f>
        <v>51.5</v>
      </c>
      <c r="AJ21" t="e">
        <f ca="1">IF(VLOOKUP(Tabell1345[[#This Row],[Nr]],$BV$3:$CB$11,2,TRUE)=2,VLOOKUP(Tabell1345[[#This Row],[Nr]],$BV$3:$CB$11,5,TRUE),NA())</f>
        <v>#N/A</v>
      </c>
      <c r="AK21" t="e">
        <f ca="1">IF(VLOOKUP(Tabell1345[[#This Row],[Nr]],$BV$3:$CB$11,2,TRUE)=3,VLOOKUP(Tabell1345[[#This Row],[Nr]],$BV$3:$CB$11,5,TRUE),NA())</f>
        <v>#N/A</v>
      </c>
      <c r="AL21" t="e">
        <f ca="1">IF(VLOOKUP(Tabell1345[[#This Row],[Nr]],$BV$3:$CB$11,2,TRUE)=4,VLOOKUP(Tabell1345[[#This Row],[Nr]],$BV$3:$CB$11,5,TRUE),NA())</f>
        <v>#N/A</v>
      </c>
      <c r="AM21" t="e">
        <f ca="1">IF(VLOOKUP(Tabell1345[[#This Row],[Nr]],$BV$3:$CB$11,2,TRUE)=5,VLOOKUP(Tabell1345[[#This Row],[Nr]],$BV$3:$CB$11,5,TRUE),NA())</f>
        <v>#N/A</v>
      </c>
      <c r="AN21" t="e">
        <f ca="1">IF(VLOOKUP(Tabell1345[[#This Row],[Nr]],$BV$3:$CB$11,2,TRUE)=6,VLOOKUP(Tabell1345[[#This Row],[Nr]],$BV$3:$CB$11,5,TRUE),NA())</f>
        <v>#N/A</v>
      </c>
      <c r="AO21" t="e">
        <f ca="1">IF(VLOOKUP(Tabell1345[[#This Row],[Nr]],$BV$3:$CB$11,2,TRUE)=7,VLOOKUP(Tabell1345[[#This Row],[Nr]],$BV$3:$CB$11,5,TRUE),NA())</f>
        <v>#N/A</v>
      </c>
      <c r="AP21">
        <f ca="1">IF(VLOOKUP(Tabell1345[[#This Row],[Nr]],$BV$3:$CB$11,2,TRUE)=1,Tabell1345[[#This Row],[Verdi_korrigert_IT]],NA())</f>
        <v>53</v>
      </c>
      <c r="AQ21" t="e">
        <f ca="1">IF(VLOOKUP(Tabell1345[[#This Row],[Nr]],$BV$3:$CB$11,2,TRUE)=2,Tabell1345[[#This Row],[Verdi_korrigert_IT]],NA())</f>
        <v>#N/A</v>
      </c>
      <c r="AR21" t="e">
        <f ca="1">IF(VLOOKUP(Tabell1345[[#This Row],[Nr]],$BV$3:$CB$11,2,TRUE)=3,Tabell1345[[#This Row],[Verdi_korrigert_IT]],NA())</f>
        <v>#N/A</v>
      </c>
      <c r="AS21" t="e">
        <f ca="1">IF(VLOOKUP(Tabell1345[[#This Row],[Nr]],$BV$3:$CB$11,2,TRUE)=4,Tabell1345[[#This Row],[Verdi_korrigert_IT]],NA())</f>
        <v>#N/A</v>
      </c>
      <c r="AT21" t="e">
        <f ca="1">IF(VLOOKUP(Tabell1345[[#This Row],[Nr]],$BV$3:$CB$11,2,TRUE)=5,Tabell1345[[#This Row],[Verdi_korrigert_IT]],NA())</f>
        <v>#N/A</v>
      </c>
      <c r="AU21" t="e">
        <f ca="1">IF(VLOOKUP(Tabell1345[[#This Row],[Nr]],$BV$3:$CB$11,2,TRUE)=6,Tabell1345[[#This Row],[Verdi_korrigert_IT]],NA())</f>
        <v>#N/A</v>
      </c>
      <c r="AV21" t="e">
        <f ca="1">IF(VLOOKUP(Tabell1345[[#This Row],[Nr]],$BV$3:$CB$11,2,TRUE)=7,Tabell1345[[#This Row],[Verdi_korrigert_IT]],NA())</f>
        <v>#N/A</v>
      </c>
      <c r="AW21">
        <f ca="1">IF(Tabell1345[[#This Row],[Brudd]]&lt;&gt;"*",IF(ISNUMBER(OFFSET(Tabell1345[[#This Row],[ser_indeks]],-1,0)),OFFSET(Tabell1345[[#This Row],[ser_indeks]],-1,0),0),0)+1</f>
        <v>7</v>
      </c>
      <c r="AX21">
        <f ca="1">VLOOKUP(Tabell1345[[#This Row],[Nr]],$BV$2:$BW$9,2,TRUE)</f>
        <v>1</v>
      </c>
      <c r="AY21">
        <f ca="1">IF(OFFSET(Tabell1345[[#This Row],[ser_indeks]],1,0)&lt;Tabell1345[[#This Row],[ser_indeks]],1,0)</f>
        <v>0</v>
      </c>
      <c r="AZ21">
        <f ca="1">IFERROR(VALUE(Tabell1345[[#This Row],[Verdi_korrigert_IT]]),OFFSET(Tabell1345[[#This Row],[verdi_korrigert]],-1,0))</f>
        <v>53</v>
      </c>
      <c r="BA21">
        <f ca="1">_xlfn.RANK.AVG(Tabell1345[[#This Row],[verdi_korrigert]],Tabell1345[verdi_korrigert],1)</f>
        <v>25.5</v>
      </c>
      <c r="BB21">
        <f ca="1">IF(Tabell1345[[#This Row],[rang]]=OFFSET(Tabell1345[[#This Row],[rang]],1,0),1,0)</f>
        <v>0</v>
      </c>
      <c r="BC21">
        <f ca="1">IF(AND(Tabell1345[[#This Row],[rang]]&gt;=OFFSET(Tabell1345[[#This Row],[rang]],-1,0),Tabell1345[[#This Row],[ser_indeks]]&gt;1),IFERROR(VALUE(OFFSET(Tabell1345[[#This Row],[rang_stig]],-1,0)),0)+1,VALUE($CH$3)-1)-Tabell1345[[#This Row],[rang_samme]]</f>
        <v>2</v>
      </c>
      <c r="BD21">
        <f ca="1">IF(AND(Tabell1345[[#This Row],[rang]]&lt;=OFFSET(Tabell1345[[#This Row],[rang]],-1,0),Tabell1345[[#This Row],[ser_indeks]]&gt;1),IFERROR(VALUE(OFFSET(Tabell1345[[#This Row],[rang_synk]],-1,0)),0)+1,VALUE($CH$3)-1)-Tabell1345[[#This Row],[rang_samme]]</f>
        <v>0</v>
      </c>
      <c r="BE21">
        <f ca="1">MAXA(Tabell1345[[#This Row],[rang_stig]:[rang_synk]])</f>
        <v>2</v>
      </c>
      <c r="BF21">
        <f ca="1">($CH$2-1)+_xlfn.AGGREGATE(9,6,Tabell1345[[#This Row],[rang_samme]]:OFFSET(Tabell1345[[#This Row],[rang_samme]],($CH$2-1),0))</f>
        <v>6</v>
      </c>
      <c r="BG21" t="e">
        <f ca="1">IF($G$9="ja",IF(MAXA(Tabell1345[[#This Row],[rang_stigsynk]]:INDIRECT(ADDRESS(ROW(Tabell1345[[#This Row],[rang_stigsynk]])+Tabell1345[[#This Row],[trend_omr]],COLUMN(Tabell1345[[#This Row],[rang_stigsynk]]))))&gt;($CH$2-2),Tabell1345[[#This Row],[Verdi_korrigert_IT]],NA()),NA())</f>
        <v>#N/A</v>
      </c>
      <c r="BH21" s="5" t="e">
        <f ca="1">IF(Tabell1345[[#This Row],[ser_indeks]]&gt;3,_xlfn.AGGREGATE(4,4,OFFSET(Tabell1345[[#This Row],[Verdi1]],-3,Tabell1345[[#This Row],[serie_nr]]-1):OFFSET(Tabell1345[[#This Row],[Verdi1]],4,Tabell1345[[#This Row],[serie_nr]]-1)),NA())</f>
        <v>#N/A</v>
      </c>
      <c r="BI21" s="5" t="e">
        <f ca="1">IF(Tabell1345[[#This Row],[ser_indeks]]&gt;3,_xlfn.AGGREGATE(5,4,OFFSET(Tabell1345[[#This Row],[Verdi1]],-3,Tabell1345[[#This Row],[serie_nr]]-1):OFFSET(Tabell1345[[#This Row],[Verdi1]],4,Tabell1345[[#This Row],[serie_nr]]-1)),NA())</f>
        <v>#N/A</v>
      </c>
      <c r="BJ21" s="5" t="e">
        <f ca="1">IF(_xlfn.AGGREGATE(4,6,Tabell1345[[#This Row],[til_brudd_rader]]:OFFSET(Tabell1345[[#This Row],[til_brudd_rader]],3,0))&gt;0,NA(),IF(Tabell1345[[#This Row],[skifte_lav1]]&lt;Tabell1345[[#This Row],[Snitt]],Tabell1345[[#This Row],[Verdi_korrigert_IT]],NA()))</f>
        <v>#N/A</v>
      </c>
      <c r="BK21" s="5" t="e">
        <f ca="1">IF(_xlfn.AGGREGATE(4,6,Tabell1345[[#This Row],[til_brudd_rader]]:OFFSET(Tabell1345[[#This Row],[til_brudd_rader]],3,0))&gt;0,NA(),IF(Tabell1345[[#This Row],[skifte_høy1]]&gt;Tabell1345[[#This Row],[Snitt]],Tabell1345[[#This Row],[Verdi_korrigert_IT]],NA()))</f>
        <v>#N/A</v>
      </c>
      <c r="BL21">
        <f ca="1">IF($G$9="ja",IFERROR(IF(_xlfn.AGGREGATE(4,6,OFFSET(Tabell1345[[#This Row],[skifte_lav2]],-4,0):OFFSET(Tabell1345[[#This Row],[skifte_lav2]],3,1))&gt;0,Tabell1345[[#This Row],[Verdi_korrigert_IT]],NA()),NA()),NA())</f>
        <v>53</v>
      </c>
      <c r="BM21" t="e">
        <f ca="1">IF($G$9="ja",IF(OR(Tabell1345[[#This Row],[Verdi_korrigert_IT]]&gt;Tabell1345[[#This Row],[UCL]],Tabell1345[[#This Row],[Verdi_korrigert_IT]]&lt;Tabell1345[[#This Row],[LCL]]),Tabell1345[[#This Row],[Verdi_korrigert_IT]],NA()),NA())</f>
        <v>#N/A</v>
      </c>
      <c r="BN21">
        <f>IF(Tabell1345[[#This Row],[Brudd]]="x","",Tabell1345[[#This Row],[Verdi]])</f>
        <v>53</v>
      </c>
      <c r="BO21">
        <f>IF(Tabell1345[[#This Row],[Brudd]]="x",NA(),Tabell1345[[#This Row],[Verdi]])</f>
        <v>53</v>
      </c>
      <c r="BP21">
        <f ca="1">IF(ISERROR(Tabell1345[[#This Row],[Verdi_korrigert_IT]]),OFFSET(Tabell1345[[#This Row],[ForrigeGyldige]],-1,0),Tabell1345[[#This Row],[Verdi]])</f>
        <v>53</v>
      </c>
      <c r="BQ21">
        <f>Tabell1345[[#This Row],[Verdi]]</f>
        <v>53</v>
      </c>
    </row>
    <row r="22" spans="1:69" x14ac:dyDescent="0.35">
      <c r="A22">
        <f ca="1">IF(ISNUMBER(OFFSET(Tabell1345[[#This Row],[Nr]],-1,0)),OFFSET(Tabell1345[[#This Row],[Nr]],-1,0))+1</f>
        <v>8</v>
      </c>
      <c r="C22" s="36">
        <v>44</v>
      </c>
      <c r="H22" t="e">
        <f t="shared" si="6"/>
        <v>#N/A</v>
      </c>
      <c r="I22" t="b">
        <f>IF(OR(Tabell1345[[#This Row],[Brudd]]="*",ROW()-ROW(Tabell1345[#All])+1=ROWS(Tabell1345[#All])),ROW())</f>
        <v>0</v>
      </c>
      <c r="J22" s="2">
        <f ca="1">VLOOKUP(Tabell1345[[#This Row],[Nr]],$BV$2:$CB$11,4,TRUE)</f>
        <v>54.583333333333336</v>
      </c>
      <c r="K22" s="2">
        <f ca="1">VLOOKUP(Tabell1345[[#This Row],[Nr]],$BV$2:$CB$11,7,TRUE)</f>
        <v>17.826969696969698</v>
      </c>
      <c r="L22" s="2">
        <f ca="1">VLOOKUP(Tabell1345[[#This Row],[Nr]],$BV$2:$CB$11,6,TRUE)</f>
        <v>91.339696969696973</v>
      </c>
      <c r="M22">
        <f ca="1">IF(OR(Tabell1345[[#This Row],[Brudd]]="*",ISERROR(Tabell1345[[#This Row],[Verdi_korrigert_IT]])),"",IF(ISNUMBER(OFFSET(Tabell1345[[#This Row],[ForrigeGyldige]],-1,0)),ABS(Tabell1345[[#This Row],[Verdi_korrigert_IT]]-OFFSET(Tabell1345[[#This Row],[ForrigeGyldige]],-1,0)),""))</f>
        <v>9</v>
      </c>
      <c r="N22">
        <f ca="1">IF(VLOOKUP(Tabell1345[[#This Row],[Nr]],$BV$3:$CB$11,2,TRUE)=1,VLOOKUP(Tabell1345[[#This Row],[Nr]],$BV$3:$CB$11,4,TRUE),NA())</f>
        <v>54.583333333333336</v>
      </c>
      <c r="O22" t="e">
        <f ca="1">IF(VLOOKUP(Tabell1345[[#This Row],[Nr]],$BV$3:$CB$11,2,TRUE)=2,VLOOKUP(Tabell1345[[#This Row],[Nr]],$BV$3:$CB$11,4,TRUE),NA())</f>
        <v>#N/A</v>
      </c>
      <c r="P22" s="2" t="e">
        <f ca="1">IF(VLOOKUP(Tabell1345[[#This Row],[Nr]],$BV$3:$CB$11,2,TRUE)=3,VLOOKUP(Tabell1345[[#This Row],[Nr]],$BV$3:$CB$11,4,TRUE),NA())</f>
        <v>#N/A</v>
      </c>
      <c r="Q22" t="e">
        <f ca="1">IF(VLOOKUP(Tabell1345[[#This Row],[Nr]],$BV$3:$CB$11,2,TRUE)=4,VLOOKUP(Tabell1345[[#This Row],[Nr]],$BV$3:$CB$11,4,TRUE),NA())</f>
        <v>#N/A</v>
      </c>
      <c r="R22" t="e">
        <f ca="1">IF(VLOOKUP(Tabell1345[[#This Row],[Nr]],$BV$3:$CB$11,2,TRUE)=5,VLOOKUP(Tabell1345[[#This Row],[Nr]],$BV$3:$CB$11,4,TRUE),NA())</f>
        <v>#N/A</v>
      </c>
      <c r="S22" t="e">
        <f ca="1">IF(VLOOKUP(Tabell1345[[#This Row],[Nr]],$BV$3:$CB$11,2,TRUE)=6,VLOOKUP(Tabell1345[[#This Row],[Nr]],$BV$3:$CB$11,4,TRUE),NA())</f>
        <v>#N/A</v>
      </c>
      <c r="T22" t="e">
        <f ca="1">IF(VLOOKUP(Tabell1345[[#This Row],[Nr]],$BV$3:$CB$11,2,TRUE)=7,VLOOKUP(Tabell1345[[#This Row],[Nr]],$BV$3:$CB$11,4,TRUE),NA())</f>
        <v>#N/A</v>
      </c>
      <c r="U22">
        <f ca="1">IF(VLOOKUP(Tabell1345[[#This Row],[Nr]],$BV$3:$CB$11,2,TRUE)=1,VLOOKUP(Tabell1345[[#This Row],[Nr]],$BV$3:$CB$11,6,TRUE),NA())</f>
        <v>91.339696969696973</v>
      </c>
      <c r="V22" t="e">
        <f ca="1">IF(VLOOKUP(Tabell1345[[#This Row],[Nr]],$BV$3:$CB$11,2,TRUE)=2,VLOOKUP(Tabell1345[[#This Row],[Nr]],$BV$3:$CB$11,6,TRUE),NA())</f>
        <v>#N/A</v>
      </c>
      <c r="W22" t="e">
        <f ca="1">IF(VLOOKUP(Tabell1345[[#This Row],[Nr]],$BV$3:$CB$11,2,TRUE)=3,VLOOKUP(Tabell1345[[#This Row],[Nr]],$BV$3:$CB$11,6,TRUE),NA())</f>
        <v>#N/A</v>
      </c>
      <c r="X22" t="e">
        <f ca="1">IF(VLOOKUP(Tabell1345[[#This Row],[Nr]],$BV$3:$CB$11,2,TRUE)=4,VLOOKUP(Tabell1345[[#This Row],[Nr]],$BV$3:$CB$11,6,TRUE),NA())</f>
        <v>#N/A</v>
      </c>
      <c r="Y22" t="e">
        <f ca="1">IF(VLOOKUP(Tabell1345[[#This Row],[Nr]],$BV$3:$CB$11,2,TRUE)=5,VLOOKUP(Tabell1345[[#This Row],[Nr]],$BV$3:$CB$11,6,TRUE),NA())</f>
        <v>#N/A</v>
      </c>
      <c r="Z22" t="e">
        <f ca="1">IF(VLOOKUP(Tabell1345[[#This Row],[Nr]],$BV$3:$CB$11,2,TRUE)=6,VLOOKUP(Tabell1345[[#This Row],[Nr]],$BV$3:$CB$11,6,TRUE),NA())</f>
        <v>#N/A</v>
      </c>
      <c r="AA22" t="e">
        <f ca="1">IF(VLOOKUP(Tabell1345[[#This Row],[Nr]],$BV$3:$CB$11,2,TRUE)=7,VLOOKUP(Tabell1345[[#This Row],[Nr]],$BV$3:$CB$11,6,TRUE),NA())</f>
        <v>#N/A</v>
      </c>
      <c r="AB22">
        <f ca="1">IF(VLOOKUP(Tabell1345[[#This Row],[Nr]],$BV$3:$CB$11,2,TRUE)=1,VLOOKUP(Tabell1345[[#This Row],[Nr]],$BV$3:$CB$11,7,TRUE),NA())</f>
        <v>17.826969696969698</v>
      </c>
      <c r="AC22" t="e">
        <f ca="1">IF(VLOOKUP(Tabell1345[[#This Row],[Nr]],$BV$3:$CB$11,2,TRUE)=2,VLOOKUP(Tabell1345[[#This Row],[Nr]],$BV$3:$CB$11,7,TRUE),NA())</f>
        <v>#N/A</v>
      </c>
      <c r="AD22" t="e">
        <f ca="1">IF(VLOOKUP(Tabell1345[[#This Row],[Nr]],$BV$3:$CB$11,2,TRUE)=3,VLOOKUP(Tabell1345[[#This Row],[Nr]],$BV$3:$CB$11,7,TRUE),NA())</f>
        <v>#N/A</v>
      </c>
      <c r="AE22" t="e">
        <f ca="1">IF(VLOOKUP(Tabell1345[[#This Row],[Nr]],$BV$3:$CB$11,2,TRUE)=4,VLOOKUP(Tabell1345[[#This Row],[Nr]],$BV$3:$CB$11,7,TRUE),NA())</f>
        <v>#N/A</v>
      </c>
      <c r="AF22" t="e">
        <f ca="1">IF(VLOOKUP(Tabell1345[[#This Row],[Nr]],$BV$3:$CB$11,2,TRUE)=5,VLOOKUP(Tabell1345[[#This Row],[Nr]],$BV$3:$CB$11,7,TRUE),NA())</f>
        <v>#N/A</v>
      </c>
      <c r="AG22" t="e">
        <f ca="1">IF(VLOOKUP(Tabell1345[[#This Row],[Nr]],$BV$3:$CB$11,2,TRUE)=6,VLOOKUP(Tabell1345[[#This Row],[Nr]],$BV$3:$CB$11,7,TRUE),NA())</f>
        <v>#N/A</v>
      </c>
      <c r="AH22" t="e">
        <f ca="1">IF(VLOOKUP(Tabell1345[[#This Row],[Nr]],$BV$3:$CB$11,2,TRUE)=7,VLOOKUP(Tabell1345[[#This Row],[Nr]],$BV$3:$CB$11,7,TRUE),NA())</f>
        <v>#N/A</v>
      </c>
      <c r="AI22">
        <f ca="1">IF(VLOOKUP(Tabell1345[[#This Row],[Nr]],$BV$3:$CB$11,2,TRUE)=1,VLOOKUP(Tabell1345[[#This Row],[Nr]],$BV$3:$CB$11,5,TRUE),NA())</f>
        <v>51.5</v>
      </c>
      <c r="AJ22" t="e">
        <f ca="1">IF(VLOOKUP(Tabell1345[[#This Row],[Nr]],$BV$3:$CB$11,2,TRUE)=2,VLOOKUP(Tabell1345[[#This Row],[Nr]],$BV$3:$CB$11,5,TRUE),NA())</f>
        <v>#N/A</v>
      </c>
      <c r="AK22" t="e">
        <f ca="1">IF(VLOOKUP(Tabell1345[[#This Row],[Nr]],$BV$3:$CB$11,2,TRUE)=3,VLOOKUP(Tabell1345[[#This Row],[Nr]],$BV$3:$CB$11,5,TRUE),NA())</f>
        <v>#N/A</v>
      </c>
      <c r="AL22" t="e">
        <f ca="1">IF(VLOOKUP(Tabell1345[[#This Row],[Nr]],$BV$3:$CB$11,2,TRUE)=4,VLOOKUP(Tabell1345[[#This Row],[Nr]],$BV$3:$CB$11,5,TRUE),NA())</f>
        <v>#N/A</v>
      </c>
      <c r="AM22" t="e">
        <f ca="1">IF(VLOOKUP(Tabell1345[[#This Row],[Nr]],$BV$3:$CB$11,2,TRUE)=5,VLOOKUP(Tabell1345[[#This Row],[Nr]],$BV$3:$CB$11,5,TRUE),NA())</f>
        <v>#N/A</v>
      </c>
      <c r="AN22" t="e">
        <f ca="1">IF(VLOOKUP(Tabell1345[[#This Row],[Nr]],$BV$3:$CB$11,2,TRUE)=6,VLOOKUP(Tabell1345[[#This Row],[Nr]],$BV$3:$CB$11,5,TRUE),NA())</f>
        <v>#N/A</v>
      </c>
      <c r="AO22" t="e">
        <f ca="1">IF(VLOOKUP(Tabell1345[[#This Row],[Nr]],$BV$3:$CB$11,2,TRUE)=7,VLOOKUP(Tabell1345[[#This Row],[Nr]],$BV$3:$CB$11,5,TRUE),NA())</f>
        <v>#N/A</v>
      </c>
      <c r="AP22">
        <f ca="1">IF(VLOOKUP(Tabell1345[[#This Row],[Nr]],$BV$3:$CB$11,2,TRUE)=1,Tabell1345[[#This Row],[Verdi_korrigert_IT]],NA())</f>
        <v>44</v>
      </c>
      <c r="AQ22" t="e">
        <f ca="1">IF(VLOOKUP(Tabell1345[[#This Row],[Nr]],$BV$3:$CB$11,2,TRUE)=2,Tabell1345[[#This Row],[Verdi_korrigert_IT]],NA())</f>
        <v>#N/A</v>
      </c>
      <c r="AR22" t="e">
        <f ca="1">IF(VLOOKUP(Tabell1345[[#This Row],[Nr]],$BV$3:$CB$11,2,TRUE)=3,Tabell1345[[#This Row],[Verdi_korrigert_IT]],NA())</f>
        <v>#N/A</v>
      </c>
      <c r="AS22" t="e">
        <f ca="1">IF(VLOOKUP(Tabell1345[[#This Row],[Nr]],$BV$3:$CB$11,2,TRUE)=4,Tabell1345[[#This Row],[Verdi_korrigert_IT]],NA())</f>
        <v>#N/A</v>
      </c>
      <c r="AT22" t="e">
        <f ca="1">IF(VLOOKUP(Tabell1345[[#This Row],[Nr]],$BV$3:$CB$11,2,TRUE)=5,Tabell1345[[#This Row],[Verdi_korrigert_IT]],NA())</f>
        <v>#N/A</v>
      </c>
      <c r="AU22" t="e">
        <f ca="1">IF(VLOOKUP(Tabell1345[[#This Row],[Nr]],$BV$3:$CB$11,2,TRUE)=6,Tabell1345[[#This Row],[Verdi_korrigert_IT]],NA())</f>
        <v>#N/A</v>
      </c>
      <c r="AV22" t="e">
        <f ca="1">IF(VLOOKUP(Tabell1345[[#This Row],[Nr]],$BV$3:$CB$11,2,TRUE)=7,Tabell1345[[#This Row],[Verdi_korrigert_IT]],NA())</f>
        <v>#N/A</v>
      </c>
      <c r="AW22">
        <f ca="1">IF(Tabell1345[[#This Row],[Brudd]]&lt;&gt;"*",IF(ISNUMBER(OFFSET(Tabell1345[[#This Row],[ser_indeks]],-1,0)),OFFSET(Tabell1345[[#This Row],[ser_indeks]],-1,0),0),0)+1</f>
        <v>8</v>
      </c>
      <c r="AX22">
        <f ca="1">VLOOKUP(Tabell1345[[#This Row],[Nr]],$BV$2:$BW$9,2,TRUE)</f>
        <v>1</v>
      </c>
      <c r="AY22">
        <f ca="1">IF(OFFSET(Tabell1345[[#This Row],[ser_indeks]],1,0)&lt;Tabell1345[[#This Row],[ser_indeks]],1,0)</f>
        <v>0</v>
      </c>
      <c r="AZ22">
        <f ca="1">IFERROR(VALUE(Tabell1345[[#This Row],[Verdi_korrigert_IT]]),OFFSET(Tabell1345[[#This Row],[verdi_korrigert]],-1,0))</f>
        <v>44</v>
      </c>
      <c r="BA22">
        <f ca="1">_xlfn.RANK.AVG(Tabell1345[[#This Row],[verdi_korrigert]],Tabell1345[verdi_korrigert],1)</f>
        <v>14.5</v>
      </c>
      <c r="BB22">
        <f ca="1">IF(Tabell1345[[#This Row],[rang]]=OFFSET(Tabell1345[[#This Row],[rang]],1,0),1,0)</f>
        <v>0</v>
      </c>
      <c r="BC22">
        <f ca="1">IF(AND(Tabell1345[[#This Row],[rang]]&gt;=OFFSET(Tabell1345[[#This Row],[rang]],-1,0),Tabell1345[[#This Row],[ser_indeks]]&gt;1),IFERROR(VALUE(OFFSET(Tabell1345[[#This Row],[rang_stig]],-1,0)),0)+1,VALUE($CH$3)-1)-Tabell1345[[#This Row],[rang_samme]]</f>
        <v>0</v>
      </c>
      <c r="BD22">
        <f ca="1">IF(AND(Tabell1345[[#This Row],[rang]]&lt;=OFFSET(Tabell1345[[#This Row],[rang]],-1,0),Tabell1345[[#This Row],[ser_indeks]]&gt;1),IFERROR(VALUE(OFFSET(Tabell1345[[#This Row],[rang_synk]],-1,0)),0)+1,VALUE($CH$3)-1)-Tabell1345[[#This Row],[rang_samme]]</f>
        <v>1</v>
      </c>
      <c r="BE22">
        <f ca="1">MAXA(Tabell1345[[#This Row],[rang_stig]:[rang_synk]])</f>
        <v>1</v>
      </c>
      <c r="BF22">
        <f ca="1">($CH$2-1)+_xlfn.AGGREGATE(9,6,Tabell1345[[#This Row],[rang_samme]]:OFFSET(Tabell1345[[#This Row],[rang_samme]],($CH$2-1),0))</f>
        <v>6</v>
      </c>
      <c r="BG22" t="e">
        <f ca="1">IF($G$9="ja",IF(MAXA(Tabell1345[[#This Row],[rang_stigsynk]]:INDIRECT(ADDRESS(ROW(Tabell1345[[#This Row],[rang_stigsynk]])+Tabell1345[[#This Row],[trend_omr]],COLUMN(Tabell1345[[#This Row],[rang_stigsynk]]))))&gt;($CH$2-2),Tabell1345[[#This Row],[Verdi_korrigert_IT]],NA()),NA())</f>
        <v>#N/A</v>
      </c>
      <c r="BH22" s="5" t="e">
        <f ca="1">IF(Tabell1345[[#This Row],[ser_indeks]]&gt;3,_xlfn.AGGREGATE(4,4,OFFSET(Tabell1345[[#This Row],[Verdi1]],-3,Tabell1345[[#This Row],[serie_nr]]-1):OFFSET(Tabell1345[[#This Row],[Verdi1]],4,Tabell1345[[#This Row],[serie_nr]]-1)),NA())</f>
        <v>#N/A</v>
      </c>
      <c r="BI22" s="5" t="e">
        <f ca="1">IF(Tabell1345[[#This Row],[ser_indeks]]&gt;3,_xlfn.AGGREGATE(5,4,OFFSET(Tabell1345[[#This Row],[Verdi1]],-3,Tabell1345[[#This Row],[serie_nr]]-1):OFFSET(Tabell1345[[#This Row],[Verdi1]],4,Tabell1345[[#This Row],[serie_nr]]-1)),NA())</f>
        <v>#N/A</v>
      </c>
      <c r="BJ22" s="5" t="e">
        <f ca="1">IF(_xlfn.AGGREGATE(4,6,Tabell1345[[#This Row],[til_brudd_rader]]:OFFSET(Tabell1345[[#This Row],[til_brudd_rader]],3,0))&gt;0,NA(),IF(Tabell1345[[#This Row],[skifte_lav1]]&lt;Tabell1345[[#This Row],[Snitt]],Tabell1345[[#This Row],[Verdi_korrigert_IT]],NA()))</f>
        <v>#N/A</v>
      </c>
      <c r="BK22" s="5" t="e">
        <f ca="1">IF(_xlfn.AGGREGATE(4,6,Tabell1345[[#This Row],[til_brudd_rader]]:OFFSET(Tabell1345[[#This Row],[til_brudd_rader]],3,0))&gt;0,NA(),IF(Tabell1345[[#This Row],[skifte_høy1]]&gt;Tabell1345[[#This Row],[Snitt]],Tabell1345[[#This Row],[Verdi_korrigert_IT]],NA()))</f>
        <v>#N/A</v>
      </c>
      <c r="BL22">
        <f ca="1">IF($G$9="ja",IFERROR(IF(_xlfn.AGGREGATE(4,6,OFFSET(Tabell1345[[#This Row],[skifte_lav2]],-4,0):OFFSET(Tabell1345[[#This Row],[skifte_lav2]],3,1))&gt;0,Tabell1345[[#This Row],[Verdi_korrigert_IT]],NA()),NA()),NA())</f>
        <v>44</v>
      </c>
      <c r="BM22" t="e">
        <f ca="1">IF($G$9="ja",IF(OR(Tabell1345[[#This Row],[Verdi_korrigert_IT]]&gt;Tabell1345[[#This Row],[UCL]],Tabell1345[[#This Row],[Verdi_korrigert_IT]]&lt;Tabell1345[[#This Row],[LCL]]),Tabell1345[[#This Row],[Verdi_korrigert_IT]],NA()),NA())</f>
        <v>#N/A</v>
      </c>
      <c r="BN22">
        <f>IF(Tabell1345[[#This Row],[Brudd]]="x","",Tabell1345[[#This Row],[Verdi]])</f>
        <v>44</v>
      </c>
      <c r="BO22">
        <f>IF(Tabell1345[[#This Row],[Brudd]]="x",NA(),Tabell1345[[#This Row],[Verdi]])</f>
        <v>44</v>
      </c>
      <c r="BP22">
        <f ca="1">IF(ISERROR(Tabell1345[[#This Row],[Verdi_korrigert_IT]]),OFFSET(Tabell1345[[#This Row],[ForrigeGyldige]],-1,0),Tabell1345[[#This Row],[Verdi]])</f>
        <v>44</v>
      </c>
      <c r="BQ22">
        <f>Tabell1345[[#This Row],[Verdi]]</f>
        <v>44</v>
      </c>
    </row>
    <row r="23" spans="1:69" x14ac:dyDescent="0.35">
      <c r="A23">
        <f ca="1">IF(ISNUMBER(OFFSET(Tabell1345[[#This Row],[Nr]],-1,0)),OFFSET(Tabell1345[[#This Row],[Nr]],-1,0))+1</f>
        <v>9</v>
      </c>
      <c r="C23" s="36">
        <v>100</v>
      </c>
      <c r="H23" t="e">
        <f t="shared" si="6"/>
        <v>#N/A</v>
      </c>
      <c r="I23" t="b">
        <f>IF(OR(Tabell1345[[#This Row],[Brudd]]="*",ROW()-ROW(Tabell1345[#All])+1=ROWS(Tabell1345[#All])),ROW())</f>
        <v>0</v>
      </c>
      <c r="J23" s="2">
        <f ca="1">VLOOKUP(Tabell1345[[#This Row],[Nr]],$BV$2:$CB$11,4,TRUE)</f>
        <v>54.583333333333336</v>
      </c>
      <c r="K23" s="2">
        <f ca="1">VLOOKUP(Tabell1345[[#This Row],[Nr]],$BV$2:$CB$11,7,TRUE)</f>
        <v>17.826969696969698</v>
      </c>
      <c r="L23" s="2">
        <f ca="1">VLOOKUP(Tabell1345[[#This Row],[Nr]],$BV$2:$CB$11,6,TRUE)</f>
        <v>91.339696969696973</v>
      </c>
      <c r="M23">
        <f ca="1">IF(OR(Tabell1345[[#This Row],[Brudd]]="*",ISERROR(Tabell1345[[#This Row],[Verdi_korrigert_IT]])),"",IF(ISNUMBER(OFFSET(Tabell1345[[#This Row],[ForrigeGyldige]],-1,0)),ABS(Tabell1345[[#This Row],[Verdi_korrigert_IT]]-OFFSET(Tabell1345[[#This Row],[ForrigeGyldige]],-1,0)),""))</f>
        <v>56</v>
      </c>
      <c r="N23">
        <f ca="1">IF(VLOOKUP(Tabell1345[[#This Row],[Nr]],$BV$3:$CB$11,2,TRUE)=1,VLOOKUP(Tabell1345[[#This Row],[Nr]],$BV$3:$CB$11,4,TRUE),NA())</f>
        <v>54.583333333333336</v>
      </c>
      <c r="O23" t="e">
        <f ca="1">IF(VLOOKUP(Tabell1345[[#This Row],[Nr]],$BV$3:$CB$11,2,TRUE)=2,VLOOKUP(Tabell1345[[#This Row],[Nr]],$BV$3:$CB$11,4,TRUE),NA())</f>
        <v>#N/A</v>
      </c>
      <c r="P23" s="2" t="e">
        <f ca="1">IF(VLOOKUP(Tabell1345[[#This Row],[Nr]],$BV$3:$CB$11,2,TRUE)=3,VLOOKUP(Tabell1345[[#This Row],[Nr]],$BV$3:$CB$11,4,TRUE),NA())</f>
        <v>#N/A</v>
      </c>
      <c r="Q23" t="e">
        <f ca="1">IF(VLOOKUP(Tabell1345[[#This Row],[Nr]],$BV$3:$CB$11,2,TRUE)=4,VLOOKUP(Tabell1345[[#This Row],[Nr]],$BV$3:$CB$11,4,TRUE),NA())</f>
        <v>#N/A</v>
      </c>
      <c r="R23" t="e">
        <f ca="1">IF(VLOOKUP(Tabell1345[[#This Row],[Nr]],$BV$3:$CB$11,2,TRUE)=5,VLOOKUP(Tabell1345[[#This Row],[Nr]],$BV$3:$CB$11,4,TRUE),NA())</f>
        <v>#N/A</v>
      </c>
      <c r="S23" t="e">
        <f ca="1">IF(VLOOKUP(Tabell1345[[#This Row],[Nr]],$BV$3:$CB$11,2,TRUE)=6,VLOOKUP(Tabell1345[[#This Row],[Nr]],$BV$3:$CB$11,4,TRUE),NA())</f>
        <v>#N/A</v>
      </c>
      <c r="T23" t="e">
        <f ca="1">IF(VLOOKUP(Tabell1345[[#This Row],[Nr]],$BV$3:$CB$11,2,TRUE)=7,VLOOKUP(Tabell1345[[#This Row],[Nr]],$BV$3:$CB$11,4,TRUE),NA())</f>
        <v>#N/A</v>
      </c>
      <c r="U23">
        <f ca="1">IF(VLOOKUP(Tabell1345[[#This Row],[Nr]],$BV$3:$CB$11,2,TRUE)=1,VLOOKUP(Tabell1345[[#This Row],[Nr]],$BV$3:$CB$11,6,TRUE),NA())</f>
        <v>91.339696969696973</v>
      </c>
      <c r="V23" t="e">
        <f ca="1">IF(VLOOKUP(Tabell1345[[#This Row],[Nr]],$BV$3:$CB$11,2,TRUE)=2,VLOOKUP(Tabell1345[[#This Row],[Nr]],$BV$3:$CB$11,6,TRUE),NA())</f>
        <v>#N/A</v>
      </c>
      <c r="W23" t="e">
        <f ca="1">IF(VLOOKUP(Tabell1345[[#This Row],[Nr]],$BV$3:$CB$11,2,TRUE)=3,VLOOKUP(Tabell1345[[#This Row],[Nr]],$BV$3:$CB$11,6,TRUE),NA())</f>
        <v>#N/A</v>
      </c>
      <c r="X23" t="e">
        <f ca="1">IF(VLOOKUP(Tabell1345[[#This Row],[Nr]],$BV$3:$CB$11,2,TRUE)=4,VLOOKUP(Tabell1345[[#This Row],[Nr]],$BV$3:$CB$11,6,TRUE),NA())</f>
        <v>#N/A</v>
      </c>
      <c r="Y23" t="e">
        <f ca="1">IF(VLOOKUP(Tabell1345[[#This Row],[Nr]],$BV$3:$CB$11,2,TRUE)=5,VLOOKUP(Tabell1345[[#This Row],[Nr]],$BV$3:$CB$11,6,TRUE),NA())</f>
        <v>#N/A</v>
      </c>
      <c r="Z23" t="e">
        <f ca="1">IF(VLOOKUP(Tabell1345[[#This Row],[Nr]],$BV$3:$CB$11,2,TRUE)=6,VLOOKUP(Tabell1345[[#This Row],[Nr]],$BV$3:$CB$11,6,TRUE),NA())</f>
        <v>#N/A</v>
      </c>
      <c r="AA23" t="e">
        <f ca="1">IF(VLOOKUP(Tabell1345[[#This Row],[Nr]],$BV$3:$CB$11,2,TRUE)=7,VLOOKUP(Tabell1345[[#This Row],[Nr]],$BV$3:$CB$11,6,TRUE),NA())</f>
        <v>#N/A</v>
      </c>
      <c r="AB23">
        <f ca="1">IF(VLOOKUP(Tabell1345[[#This Row],[Nr]],$BV$3:$CB$11,2,TRUE)=1,VLOOKUP(Tabell1345[[#This Row],[Nr]],$BV$3:$CB$11,7,TRUE),NA())</f>
        <v>17.826969696969698</v>
      </c>
      <c r="AC23" t="e">
        <f ca="1">IF(VLOOKUP(Tabell1345[[#This Row],[Nr]],$BV$3:$CB$11,2,TRUE)=2,VLOOKUP(Tabell1345[[#This Row],[Nr]],$BV$3:$CB$11,7,TRUE),NA())</f>
        <v>#N/A</v>
      </c>
      <c r="AD23" t="e">
        <f ca="1">IF(VLOOKUP(Tabell1345[[#This Row],[Nr]],$BV$3:$CB$11,2,TRUE)=3,VLOOKUP(Tabell1345[[#This Row],[Nr]],$BV$3:$CB$11,7,TRUE),NA())</f>
        <v>#N/A</v>
      </c>
      <c r="AE23" t="e">
        <f ca="1">IF(VLOOKUP(Tabell1345[[#This Row],[Nr]],$BV$3:$CB$11,2,TRUE)=4,VLOOKUP(Tabell1345[[#This Row],[Nr]],$BV$3:$CB$11,7,TRUE),NA())</f>
        <v>#N/A</v>
      </c>
      <c r="AF23" t="e">
        <f ca="1">IF(VLOOKUP(Tabell1345[[#This Row],[Nr]],$BV$3:$CB$11,2,TRUE)=5,VLOOKUP(Tabell1345[[#This Row],[Nr]],$BV$3:$CB$11,7,TRUE),NA())</f>
        <v>#N/A</v>
      </c>
      <c r="AG23" t="e">
        <f ca="1">IF(VLOOKUP(Tabell1345[[#This Row],[Nr]],$BV$3:$CB$11,2,TRUE)=6,VLOOKUP(Tabell1345[[#This Row],[Nr]],$BV$3:$CB$11,7,TRUE),NA())</f>
        <v>#N/A</v>
      </c>
      <c r="AH23" t="e">
        <f ca="1">IF(VLOOKUP(Tabell1345[[#This Row],[Nr]],$BV$3:$CB$11,2,TRUE)=7,VLOOKUP(Tabell1345[[#This Row],[Nr]],$BV$3:$CB$11,7,TRUE),NA())</f>
        <v>#N/A</v>
      </c>
      <c r="AI23">
        <f ca="1">IF(VLOOKUP(Tabell1345[[#This Row],[Nr]],$BV$3:$CB$11,2,TRUE)=1,VLOOKUP(Tabell1345[[#This Row],[Nr]],$BV$3:$CB$11,5,TRUE),NA())</f>
        <v>51.5</v>
      </c>
      <c r="AJ23" t="e">
        <f ca="1">IF(VLOOKUP(Tabell1345[[#This Row],[Nr]],$BV$3:$CB$11,2,TRUE)=2,VLOOKUP(Tabell1345[[#This Row],[Nr]],$BV$3:$CB$11,5,TRUE),NA())</f>
        <v>#N/A</v>
      </c>
      <c r="AK23" t="e">
        <f ca="1">IF(VLOOKUP(Tabell1345[[#This Row],[Nr]],$BV$3:$CB$11,2,TRUE)=3,VLOOKUP(Tabell1345[[#This Row],[Nr]],$BV$3:$CB$11,5,TRUE),NA())</f>
        <v>#N/A</v>
      </c>
      <c r="AL23" t="e">
        <f ca="1">IF(VLOOKUP(Tabell1345[[#This Row],[Nr]],$BV$3:$CB$11,2,TRUE)=4,VLOOKUP(Tabell1345[[#This Row],[Nr]],$BV$3:$CB$11,5,TRUE),NA())</f>
        <v>#N/A</v>
      </c>
      <c r="AM23" t="e">
        <f ca="1">IF(VLOOKUP(Tabell1345[[#This Row],[Nr]],$BV$3:$CB$11,2,TRUE)=5,VLOOKUP(Tabell1345[[#This Row],[Nr]],$BV$3:$CB$11,5,TRUE),NA())</f>
        <v>#N/A</v>
      </c>
      <c r="AN23" t="e">
        <f ca="1">IF(VLOOKUP(Tabell1345[[#This Row],[Nr]],$BV$3:$CB$11,2,TRUE)=6,VLOOKUP(Tabell1345[[#This Row],[Nr]],$BV$3:$CB$11,5,TRUE),NA())</f>
        <v>#N/A</v>
      </c>
      <c r="AO23" t="e">
        <f ca="1">IF(VLOOKUP(Tabell1345[[#This Row],[Nr]],$BV$3:$CB$11,2,TRUE)=7,VLOOKUP(Tabell1345[[#This Row],[Nr]],$BV$3:$CB$11,5,TRUE),NA())</f>
        <v>#N/A</v>
      </c>
      <c r="AP23">
        <f ca="1">IF(VLOOKUP(Tabell1345[[#This Row],[Nr]],$BV$3:$CB$11,2,TRUE)=1,Tabell1345[[#This Row],[Verdi_korrigert_IT]],NA())</f>
        <v>100</v>
      </c>
      <c r="AQ23" t="e">
        <f ca="1">IF(VLOOKUP(Tabell1345[[#This Row],[Nr]],$BV$3:$CB$11,2,TRUE)=2,Tabell1345[[#This Row],[Verdi_korrigert_IT]],NA())</f>
        <v>#N/A</v>
      </c>
      <c r="AR23" t="e">
        <f ca="1">IF(VLOOKUP(Tabell1345[[#This Row],[Nr]],$BV$3:$CB$11,2,TRUE)=3,Tabell1345[[#This Row],[Verdi_korrigert_IT]],NA())</f>
        <v>#N/A</v>
      </c>
      <c r="AS23" t="e">
        <f ca="1">IF(VLOOKUP(Tabell1345[[#This Row],[Nr]],$BV$3:$CB$11,2,TRUE)=4,Tabell1345[[#This Row],[Verdi_korrigert_IT]],NA())</f>
        <v>#N/A</v>
      </c>
      <c r="AT23" t="e">
        <f ca="1">IF(VLOOKUP(Tabell1345[[#This Row],[Nr]],$BV$3:$CB$11,2,TRUE)=5,Tabell1345[[#This Row],[Verdi_korrigert_IT]],NA())</f>
        <v>#N/A</v>
      </c>
      <c r="AU23" t="e">
        <f ca="1">IF(VLOOKUP(Tabell1345[[#This Row],[Nr]],$BV$3:$CB$11,2,TRUE)=6,Tabell1345[[#This Row],[Verdi_korrigert_IT]],NA())</f>
        <v>#N/A</v>
      </c>
      <c r="AV23" t="e">
        <f ca="1">IF(VLOOKUP(Tabell1345[[#This Row],[Nr]],$BV$3:$CB$11,2,TRUE)=7,Tabell1345[[#This Row],[Verdi_korrigert_IT]],NA())</f>
        <v>#N/A</v>
      </c>
      <c r="AW23">
        <f ca="1">IF(Tabell1345[[#This Row],[Brudd]]&lt;&gt;"*",IF(ISNUMBER(OFFSET(Tabell1345[[#This Row],[ser_indeks]],-1,0)),OFFSET(Tabell1345[[#This Row],[ser_indeks]],-1,0),0),0)+1</f>
        <v>9</v>
      </c>
      <c r="AX23">
        <f ca="1">VLOOKUP(Tabell1345[[#This Row],[Nr]],$BV$2:$BW$9,2,TRUE)</f>
        <v>1</v>
      </c>
      <c r="AY23">
        <f ca="1">IF(OFFSET(Tabell1345[[#This Row],[ser_indeks]],1,0)&lt;Tabell1345[[#This Row],[ser_indeks]],1,0)</f>
        <v>0</v>
      </c>
      <c r="AZ23">
        <f ca="1">IFERROR(VALUE(Tabell1345[[#This Row],[Verdi_korrigert_IT]]),OFFSET(Tabell1345[[#This Row],[verdi_korrigert]],-1,0))</f>
        <v>100</v>
      </c>
      <c r="BA23">
        <f ca="1">_xlfn.RANK.AVG(Tabell1345[[#This Row],[verdi_korrigert]],Tabell1345[verdi_korrigert],1)</f>
        <v>32.5</v>
      </c>
      <c r="BB23">
        <f ca="1">IF(Tabell1345[[#This Row],[rang]]=OFFSET(Tabell1345[[#This Row],[rang]],1,0),1,0)</f>
        <v>0</v>
      </c>
      <c r="BC23">
        <f ca="1">IF(AND(Tabell1345[[#This Row],[rang]]&gt;=OFFSET(Tabell1345[[#This Row],[rang]],-1,0),Tabell1345[[#This Row],[ser_indeks]]&gt;1),IFERROR(VALUE(OFFSET(Tabell1345[[#This Row],[rang_stig]],-1,0)),0)+1,VALUE($CH$3)-1)-Tabell1345[[#This Row],[rang_samme]]</f>
        <v>1</v>
      </c>
      <c r="BD23">
        <f ca="1">IF(AND(Tabell1345[[#This Row],[rang]]&lt;=OFFSET(Tabell1345[[#This Row],[rang]],-1,0),Tabell1345[[#This Row],[ser_indeks]]&gt;1),IFERROR(VALUE(OFFSET(Tabell1345[[#This Row],[rang_synk]],-1,0)),0)+1,VALUE($CH$3)-1)-Tabell1345[[#This Row],[rang_samme]]</f>
        <v>0</v>
      </c>
      <c r="BE23">
        <f ca="1">MAXA(Tabell1345[[#This Row],[rang_stig]:[rang_synk]])</f>
        <v>1</v>
      </c>
      <c r="BF23">
        <f ca="1">($CH$2-1)+_xlfn.AGGREGATE(9,6,Tabell1345[[#This Row],[rang_samme]]:OFFSET(Tabell1345[[#This Row],[rang_samme]],($CH$2-1),0))</f>
        <v>6</v>
      </c>
      <c r="BG23" t="e">
        <f ca="1">IF($G$9="ja",IF(MAXA(Tabell1345[[#This Row],[rang_stigsynk]]:INDIRECT(ADDRESS(ROW(Tabell1345[[#This Row],[rang_stigsynk]])+Tabell1345[[#This Row],[trend_omr]],COLUMN(Tabell1345[[#This Row],[rang_stigsynk]]))))&gt;($CH$2-2),Tabell1345[[#This Row],[Verdi_korrigert_IT]],NA()),NA())</f>
        <v>#N/A</v>
      </c>
      <c r="BH23" s="5" t="e">
        <f ca="1">IF(Tabell1345[[#This Row],[ser_indeks]]&gt;3,_xlfn.AGGREGATE(4,4,OFFSET(Tabell1345[[#This Row],[Verdi1]],-3,Tabell1345[[#This Row],[serie_nr]]-1):OFFSET(Tabell1345[[#This Row],[Verdi1]],4,Tabell1345[[#This Row],[serie_nr]]-1)),NA())</f>
        <v>#N/A</v>
      </c>
      <c r="BI23" s="5" t="e">
        <f ca="1">IF(Tabell1345[[#This Row],[ser_indeks]]&gt;3,_xlfn.AGGREGATE(5,4,OFFSET(Tabell1345[[#This Row],[Verdi1]],-3,Tabell1345[[#This Row],[serie_nr]]-1):OFFSET(Tabell1345[[#This Row],[Verdi1]],4,Tabell1345[[#This Row],[serie_nr]]-1)),NA())</f>
        <v>#N/A</v>
      </c>
      <c r="BJ23" s="5" t="e">
        <f ca="1">IF(_xlfn.AGGREGATE(4,6,Tabell1345[[#This Row],[til_brudd_rader]]:OFFSET(Tabell1345[[#This Row],[til_brudd_rader]],3,0))&gt;0,NA(),IF(Tabell1345[[#This Row],[skifte_lav1]]&lt;Tabell1345[[#This Row],[Snitt]],Tabell1345[[#This Row],[Verdi_korrigert_IT]],NA()))</f>
        <v>#N/A</v>
      </c>
      <c r="BK23" s="5" t="e">
        <f ca="1">IF(_xlfn.AGGREGATE(4,6,Tabell1345[[#This Row],[til_brudd_rader]]:OFFSET(Tabell1345[[#This Row],[til_brudd_rader]],3,0))&gt;0,NA(),IF(Tabell1345[[#This Row],[skifte_høy1]]&gt;Tabell1345[[#This Row],[Snitt]],Tabell1345[[#This Row],[Verdi_korrigert_IT]],NA()))</f>
        <v>#N/A</v>
      </c>
      <c r="BL23" t="e">
        <f ca="1">IF($G$9="ja",IFERROR(IF(_xlfn.AGGREGATE(4,6,OFFSET(Tabell1345[[#This Row],[skifte_lav2]],-4,0):OFFSET(Tabell1345[[#This Row],[skifte_lav2]],3,1))&gt;0,Tabell1345[[#This Row],[Verdi_korrigert_IT]],NA()),NA()),NA())</f>
        <v>#N/A</v>
      </c>
      <c r="BM23">
        <f ca="1">IF($G$9="ja",IF(OR(Tabell1345[[#This Row],[Verdi_korrigert_IT]]&gt;Tabell1345[[#This Row],[UCL]],Tabell1345[[#This Row],[Verdi_korrigert_IT]]&lt;Tabell1345[[#This Row],[LCL]]),Tabell1345[[#This Row],[Verdi_korrigert_IT]],NA()),NA())</f>
        <v>100</v>
      </c>
      <c r="BN23">
        <f>IF(Tabell1345[[#This Row],[Brudd]]="x","",Tabell1345[[#This Row],[Verdi]])</f>
        <v>100</v>
      </c>
      <c r="BO23">
        <f>IF(Tabell1345[[#This Row],[Brudd]]="x",NA(),Tabell1345[[#This Row],[Verdi]])</f>
        <v>100</v>
      </c>
      <c r="BP23">
        <f ca="1">IF(ISERROR(Tabell1345[[#This Row],[Verdi_korrigert_IT]]),OFFSET(Tabell1345[[#This Row],[ForrigeGyldige]],-1,0),Tabell1345[[#This Row],[Verdi]])</f>
        <v>100</v>
      </c>
      <c r="BQ23">
        <f>Tabell1345[[#This Row],[Verdi]]</f>
        <v>100</v>
      </c>
    </row>
    <row r="24" spans="1:69" x14ac:dyDescent="0.35">
      <c r="A24">
        <f ca="1">IF(ISNUMBER(OFFSET(Tabell1345[[#This Row],[Nr]],-1,0)),OFFSET(Tabell1345[[#This Row],[Nr]],-1,0))+1</f>
        <v>10</v>
      </c>
      <c r="C24" s="36">
        <v>51</v>
      </c>
      <c r="H24" t="e">
        <f t="shared" si="6"/>
        <v>#N/A</v>
      </c>
      <c r="I24" t="b">
        <f>IF(OR(Tabell1345[[#This Row],[Brudd]]="*",ROW()-ROW(Tabell1345[#All])+1=ROWS(Tabell1345[#All])),ROW())</f>
        <v>0</v>
      </c>
      <c r="J24" s="2">
        <f ca="1">VLOOKUP(Tabell1345[[#This Row],[Nr]],$BV$2:$CB$11,4,TRUE)</f>
        <v>54.583333333333336</v>
      </c>
      <c r="K24" s="2">
        <f ca="1">VLOOKUP(Tabell1345[[#This Row],[Nr]],$BV$2:$CB$11,7,TRUE)</f>
        <v>17.826969696969698</v>
      </c>
      <c r="L24" s="2">
        <f ca="1">VLOOKUP(Tabell1345[[#This Row],[Nr]],$BV$2:$CB$11,6,TRUE)</f>
        <v>91.339696969696973</v>
      </c>
      <c r="M24">
        <f ca="1">IF(OR(Tabell1345[[#This Row],[Brudd]]="*",ISERROR(Tabell1345[[#This Row],[Verdi_korrigert_IT]])),"",IF(ISNUMBER(OFFSET(Tabell1345[[#This Row],[ForrigeGyldige]],-1,0)),ABS(Tabell1345[[#This Row],[Verdi_korrigert_IT]]-OFFSET(Tabell1345[[#This Row],[ForrigeGyldige]],-1,0)),""))</f>
        <v>49</v>
      </c>
      <c r="N24">
        <f ca="1">IF(VLOOKUP(Tabell1345[[#This Row],[Nr]],$BV$3:$CB$11,2,TRUE)=1,VLOOKUP(Tabell1345[[#This Row],[Nr]],$BV$3:$CB$11,4,TRUE),NA())</f>
        <v>54.583333333333336</v>
      </c>
      <c r="O24" t="e">
        <f ca="1">IF(VLOOKUP(Tabell1345[[#This Row],[Nr]],$BV$3:$CB$11,2,TRUE)=2,VLOOKUP(Tabell1345[[#This Row],[Nr]],$BV$3:$CB$11,4,TRUE),NA())</f>
        <v>#N/A</v>
      </c>
      <c r="P24" s="2" t="e">
        <f ca="1">IF(VLOOKUP(Tabell1345[[#This Row],[Nr]],$BV$3:$CB$11,2,TRUE)=3,VLOOKUP(Tabell1345[[#This Row],[Nr]],$BV$3:$CB$11,4,TRUE),NA())</f>
        <v>#N/A</v>
      </c>
      <c r="Q24" t="e">
        <f ca="1">IF(VLOOKUP(Tabell1345[[#This Row],[Nr]],$BV$3:$CB$11,2,TRUE)=4,VLOOKUP(Tabell1345[[#This Row],[Nr]],$BV$3:$CB$11,4,TRUE),NA())</f>
        <v>#N/A</v>
      </c>
      <c r="R24" t="e">
        <f ca="1">IF(VLOOKUP(Tabell1345[[#This Row],[Nr]],$BV$3:$CB$11,2,TRUE)=5,VLOOKUP(Tabell1345[[#This Row],[Nr]],$BV$3:$CB$11,4,TRUE),NA())</f>
        <v>#N/A</v>
      </c>
      <c r="S24" t="e">
        <f ca="1">IF(VLOOKUP(Tabell1345[[#This Row],[Nr]],$BV$3:$CB$11,2,TRUE)=6,VLOOKUP(Tabell1345[[#This Row],[Nr]],$BV$3:$CB$11,4,TRUE),NA())</f>
        <v>#N/A</v>
      </c>
      <c r="T24" t="e">
        <f ca="1">IF(VLOOKUP(Tabell1345[[#This Row],[Nr]],$BV$3:$CB$11,2,TRUE)=7,VLOOKUP(Tabell1345[[#This Row],[Nr]],$BV$3:$CB$11,4,TRUE),NA())</f>
        <v>#N/A</v>
      </c>
      <c r="U24">
        <f ca="1">IF(VLOOKUP(Tabell1345[[#This Row],[Nr]],$BV$3:$CB$11,2,TRUE)=1,VLOOKUP(Tabell1345[[#This Row],[Nr]],$BV$3:$CB$11,6,TRUE),NA())</f>
        <v>91.339696969696973</v>
      </c>
      <c r="V24" t="e">
        <f ca="1">IF(VLOOKUP(Tabell1345[[#This Row],[Nr]],$BV$3:$CB$11,2,TRUE)=2,VLOOKUP(Tabell1345[[#This Row],[Nr]],$BV$3:$CB$11,6,TRUE),NA())</f>
        <v>#N/A</v>
      </c>
      <c r="W24" t="e">
        <f ca="1">IF(VLOOKUP(Tabell1345[[#This Row],[Nr]],$BV$3:$CB$11,2,TRUE)=3,VLOOKUP(Tabell1345[[#This Row],[Nr]],$BV$3:$CB$11,6,TRUE),NA())</f>
        <v>#N/A</v>
      </c>
      <c r="X24" t="e">
        <f ca="1">IF(VLOOKUP(Tabell1345[[#This Row],[Nr]],$BV$3:$CB$11,2,TRUE)=4,VLOOKUP(Tabell1345[[#This Row],[Nr]],$BV$3:$CB$11,6,TRUE),NA())</f>
        <v>#N/A</v>
      </c>
      <c r="Y24" t="e">
        <f ca="1">IF(VLOOKUP(Tabell1345[[#This Row],[Nr]],$BV$3:$CB$11,2,TRUE)=5,VLOOKUP(Tabell1345[[#This Row],[Nr]],$BV$3:$CB$11,6,TRUE),NA())</f>
        <v>#N/A</v>
      </c>
      <c r="Z24" t="e">
        <f ca="1">IF(VLOOKUP(Tabell1345[[#This Row],[Nr]],$BV$3:$CB$11,2,TRUE)=6,VLOOKUP(Tabell1345[[#This Row],[Nr]],$BV$3:$CB$11,6,TRUE),NA())</f>
        <v>#N/A</v>
      </c>
      <c r="AA24" t="e">
        <f ca="1">IF(VLOOKUP(Tabell1345[[#This Row],[Nr]],$BV$3:$CB$11,2,TRUE)=7,VLOOKUP(Tabell1345[[#This Row],[Nr]],$BV$3:$CB$11,6,TRUE),NA())</f>
        <v>#N/A</v>
      </c>
      <c r="AB24">
        <f ca="1">IF(VLOOKUP(Tabell1345[[#This Row],[Nr]],$BV$3:$CB$11,2,TRUE)=1,VLOOKUP(Tabell1345[[#This Row],[Nr]],$BV$3:$CB$11,7,TRUE),NA())</f>
        <v>17.826969696969698</v>
      </c>
      <c r="AC24" t="e">
        <f ca="1">IF(VLOOKUP(Tabell1345[[#This Row],[Nr]],$BV$3:$CB$11,2,TRUE)=2,VLOOKUP(Tabell1345[[#This Row],[Nr]],$BV$3:$CB$11,7,TRUE),NA())</f>
        <v>#N/A</v>
      </c>
      <c r="AD24" t="e">
        <f ca="1">IF(VLOOKUP(Tabell1345[[#This Row],[Nr]],$BV$3:$CB$11,2,TRUE)=3,VLOOKUP(Tabell1345[[#This Row],[Nr]],$BV$3:$CB$11,7,TRUE),NA())</f>
        <v>#N/A</v>
      </c>
      <c r="AE24" t="e">
        <f ca="1">IF(VLOOKUP(Tabell1345[[#This Row],[Nr]],$BV$3:$CB$11,2,TRUE)=4,VLOOKUP(Tabell1345[[#This Row],[Nr]],$BV$3:$CB$11,7,TRUE),NA())</f>
        <v>#N/A</v>
      </c>
      <c r="AF24" t="e">
        <f ca="1">IF(VLOOKUP(Tabell1345[[#This Row],[Nr]],$BV$3:$CB$11,2,TRUE)=5,VLOOKUP(Tabell1345[[#This Row],[Nr]],$BV$3:$CB$11,7,TRUE),NA())</f>
        <v>#N/A</v>
      </c>
      <c r="AG24" t="e">
        <f ca="1">IF(VLOOKUP(Tabell1345[[#This Row],[Nr]],$BV$3:$CB$11,2,TRUE)=6,VLOOKUP(Tabell1345[[#This Row],[Nr]],$BV$3:$CB$11,7,TRUE),NA())</f>
        <v>#N/A</v>
      </c>
      <c r="AH24" t="e">
        <f ca="1">IF(VLOOKUP(Tabell1345[[#This Row],[Nr]],$BV$3:$CB$11,2,TRUE)=7,VLOOKUP(Tabell1345[[#This Row],[Nr]],$BV$3:$CB$11,7,TRUE),NA())</f>
        <v>#N/A</v>
      </c>
      <c r="AI24">
        <f ca="1">IF(VLOOKUP(Tabell1345[[#This Row],[Nr]],$BV$3:$CB$11,2,TRUE)=1,VLOOKUP(Tabell1345[[#This Row],[Nr]],$BV$3:$CB$11,5,TRUE),NA())</f>
        <v>51.5</v>
      </c>
      <c r="AJ24" t="e">
        <f ca="1">IF(VLOOKUP(Tabell1345[[#This Row],[Nr]],$BV$3:$CB$11,2,TRUE)=2,VLOOKUP(Tabell1345[[#This Row],[Nr]],$BV$3:$CB$11,5,TRUE),NA())</f>
        <v>#N/A</v>
      </c>
      <c r="AK24" t="e">
        <f ca="1">IF(VLOOKUP(Tabell1345[[#This Row],[Nr]],$BV$3:$CB$11,2,TRUE)=3,VLOOKUP(Tabell1345[[#This Row],[Nr]],$BV$3:$CB$11,5,TRUE),NA())</f>
        <v>#N/A</v>
      </c>
      <c r="AL24" t="e">
        <f ca="1">IF(VLOOKUP(Tabell1345[[#This Row],[Nr]],$BV$3:$CB$11,2,TRUE)=4,VLOOKUP(Tabell1345[[#This Row],[Nr]],$BV$3:$CB$11,5,TRUE),NA())</f>
        <v>#N/A</v>
      </c>
      <c r="AM24" t="e">
        <f ca="1">IF(VLOOKUP(Tabell1345[[#This Row],[Nr]],$BV$3:$CB$11,2,TRUE)=5,VLOOKUP(Tabell1345[[#This Row],[Nr]],$BV$3:$CB$11,5,TRUE),NA())</f>
        <v>#N/A</v>
      </c>
      <c r="AN24" t="e">
        <f ca="1">IF(VLOOKUP(Tabell1345[[#This Row],[Nr]],$BV$3:$CB$11,2,TRUE)=6,VLOOKUP(Tabell1345[[#This Row],[Nr]],$BV$3:$CB$11,5,TRUE),NA())</f>
        <v>#N/A</v>
      </c>
      <c r="AO24" t="e">
        <f ca="1">IF(VLOOKUP(Tabell1345[[#This Row],[Nr]],$BV$3:$CB$11,2,TRUE)=7,VLOOKUP(Tabell1345[[#This Row],[Nr]],$BV$3:$CB$11,5,TRUE),NA())</f>
        <v>#N/A</v>
      </c>
      <c r="AP24">
        <f ca="1">IF(VLOOKUP(Tabell1345[[#This Row],[Nr]],$BV$3:$CB$11,2,TRUE)=1,Tabell1345[[#This Row],[Verdi_korrigert_IT]],NA())</f>
        <v>51</v>
      </c>
      <c r="AQ24" t="e">
        <f ca="1">IF(VLOOKUP(Tabell1345[[#This Row],[Nr]],$BV$3:$CB$11,2,TRUE)=2,Tabell1345[[#This Row],[Verdi_korrigert_IT]],NA())</f>
        <v>#N/A</v>
      </c>
      <c r="AR24" t="e">
        <f ca="1">IF(VLOOKUP(Tabell1345[[#This Row],[Nr]],$BV$3:$CB$11,2,TRUE)=3,Tabell1345[[#This Row],[Verdi_korrigert_IT]],NA())</f>
        <v>#N/A</v>
      </c>
      <c r="AS24" t="e">
        <f ca="1">IF(VLOOKUP(Tabell1345[[#This Row],[Nr]],$BV$3:$CB$11,2,TRUE)=4,Tabell1345[[#This Row],[Verdi_korrigert_IT]],NA())</f>
        <v>#N/A</v>
      </c>
      <c r="AT24" t="e">
        <f ca="1">IF(VLOOKUP(Tabell1345[[#This Row],[Nr]],$BV$3:$CB$11,2,TRUE)=5,Tabell1345[[#This Row],[Verdi_korrigert_IT]],NA())</f>
        <v>#N/A</v>
      </c>
      <c r="AU24" t="e">
        <f ca="1">IF(VLOOKUP(Tabell1345[[#This Row],[Nr]],$BV$3:$CB$11,2,TRUE)=6,Tabell1345[[#This Row],[Verdi_korrigert_IT]],NA())</f>
        <v>#N/A</v>
      </c>
      <c r="AV24" t="e">
        <f ca="1">IF(VLOOKUP(Tabell1345[[#This Row],[Nr]],$BV$3:$CB$11,2,TRUE)=7,Tabell1345[[#This Row],[Verdi_korrigert_IT]],NA())</f>
        <v>#N/A</v>
      </c>
      <c r="AW24">
        <f ca="1">IF(Tabell1345[[#This Row],[Brudd]]&lt;&gt;"*",IF(ISNUMBER(OFFSET(Tabell1345[[#This Row],[ser_indeks]],-1,0)),OFFSET(Tabell1345[[#This Row],[ser_indeks]],-1,0),0),0)+1</f>
        <v>10</v>
      </c>
      <c r="AX24">
        <f ca="1">VLOOKUP(Tabell1345[[#This Row],[Nr]],$BV$2:$BW$9,2,TRUE)</f>
        <v>1</v>
      </c>
      <c r="AY24">
        <f ca="1">IF(OFFSET(Tabell1345[[#This Row],[ser_indeks]],1,0)&lt;Tabell1345[[#This Row],[ser_indeks]],1,0)</f>
        <v>0</v>
      </c>
      <c r="AZ24">
        <f ca="1">IFERROR(VALUE(Tabell1345[[#This Row],[Verdi_korrigert_IT]]),OFFSET(Tabell1345[[#This Row],[verdi_korrigert]],-1,0))</f>
        <v>51</v>
      </c>
      <c r="BA24">
        <f ca="1">_xlfn.RANK.AVG(Tabell1345[[#This Row],[verdi_korrigert]],Tabell1345[verdi_korrigert],1)</f>
        <v>22</v>
      </c>
      <c r="BB24">
        <f ca="1">IF(Tabell1345[[#This Row],[rang]]=OFFSET(Tabell1345[[#This Row],[rang]],1,0),1,0)</f>
        <v>1</v>
      </c>
      <c r="BC24">
        <f ca="1">IF(AND(Tabell1345[[#This Row],[rang]]&gt;=OFFSET(Tabell1345[[#This Row],[rang]],-1,0),Tabell1345[[#This Row],[ser_indeks]]&gt;1),IFERROR(VALUE(OFFSET(Tabell1345[[#This Row],[rang_stig]],-1,0)),0)+1,VALUE($CH$3)-1)-Tabell1345[[#This Row],[rang_samme]]</f>
        <v>-1</v>
      </c>
      <c r="BD24">
        <f ca="1">IF(AND(Tabell1345[[#This Row],[rang]]&lt;=OFFSET(Tabell1345[[#This Row],[rang]],-1,0),Tabell1345[[#This Row],[ser_indeks]]&gt;1),IFERROR(VALUE(OFFSET(Tabell1345[[#This Row],[rang_synk]],-1,0)),0)+1,VALUE($CH$3)-1)-Tabell1345[[#This Row],[rang_samme]]</f>
        <v>0</v>
      </c>
      <c r="BE24">
        <f ca="1">MAXA(Tabell1345[[#This Row],[rang_stig]:[rang_synk]])</f>
        <v>0</v>
      </c>
      <c r="BF24">
        <f ca="1">($CH$2-1)+_xlfn.AGGREGATE(9,6,Tabell1345[[#This Row],[rang_samme]]:OFFSET(Tabell1345[[#This Row],[rang_samme]],($CH$2-1),0))</f>
        <v>6</v>
      </c>
      <c r="BG24" t="e">
        <f ca="1">IF($G$9="ja",IF(MAXA(Tabell1345[[#This Row],[rang_stigsynk]]:INDIRECT(ADDRESS(ROW(Tabell1345[[#This Row],[rang_stigsynk]])+Tabell1345[[#This Row],[trend_omr]],COLUMN(Tabell1345[[#This Row],[rang_stigsynk]]))))&gt;($CH$2-2),Tabell1345[[#This Row],[Verdi_korrigert_IT]],NA()),NA())</f>
        <v>#N/A</v>
      </c>
      <c r="BH24" s="5" t="e">
        <f ca="1">IF(Tabell1345[[#This Row],[ser_indeks]]&gt;3,_xlfn.AGGREGATE(4,4,OFFSET(Tabell1345[[#This Row],[Verdi1]],-3,Tabell1345[[#This Row],[serie_nr]]-1):OFFSET(Tabell1345[[#This Row],[Verdi1]],4,Tabell1345[[#This Row],[serie_nr]]-1)),NA())</f>
        <v>#N/A</v>
      </c>
      <c r="BI24" s="5" t="e">
        <f ca="1">IF(Tabell1345[[#This Row],[ser_indeks]]&gt;3,_xlfn.AGGREGATE(5,4,OFFSET(Tabell1345[[#This Row],[Verdi1]],-3,Tabell1345[[#This Row],[serie_nr]]-1):OFFSET(Tabell1345[[#This Row],[Verdi1]],4,Tabell1345[[#This Row],[serie_nr]]-1)),NA())</f>
        <v>#N/A</v>
      </c>
      <c r="BJ24" s="5" t="e">
        <f ca="1">IF(_xlfn.AGGREGATE(4,6,Tabell1345[[#This Row],[til_brudd_rader]]:OFFSET(Tabell1345[[#This Row],[til_brudd_rader]],3,0))&gt;0,NA(),IF(Tabell1345[[#This Row],[skifte_lav1]]&lt;Tabell1345[[#This Row],[Snitt]],Tabell1345[[#This Row],[Verdi_korrigert_IT]],NA()))</f>
        <v>#N/A</v>
      </c>
      <c r="BK24" s="5" t="e">
        <f ca="1">IF(_xlfn.AGGREGATE(4,6,Tabell1345[[#This Row],[til_brudd_rader]]:OFFSET(Tabell1345[[#This Row],[til_brudd_rader]],3,0))&gt;0,NA(),IF(Tabell1345[[#This Row],[skifte_høy1]]&gt;Tabell1345[[#This Row],[Snitt]],Tabell1345[[#This Row],[Verdi_korrigert_IT]],NA()))</f>
        <v>#N/A</v>
      </c>
      <c r="BL24" t="e">
        <f ca="1">IF($G$9="ja",IFERROR(IF(_xlfn.AGGREGATE(4,6,OFFSET(Tabell1345[[#This Row],[skifte_lav2]],-4,0):OFFSET(Tabell1345[[#This Row],[skifte_lav2]],3,1))&gt;0,Tabell1345[[#This Row],[Verdi_korrigert_IT]],NA()),NA()),NA())</f>
        <v>#N/A</v>
      </c>
      <c r="BM24" t="e">
        <f ca="1">IF($G$9="ja",IF(OR(Tabell1345[[#This Row],[Verdi_korrigert_IT]]&gt;Tabell1345[[#This Row],[UCL]],Tabell1345[[#This Row],[Verdi_korrigert_IT]]&lt;Tabell1345[[#This Row],[LCL]]),Tabell1345[[#This Row],[Verdi_korrigert_IT]],NA()),NA())</f>
        <v>#N/A</v>
      </c>
      <c r="BN24">
        <f>IF(Tabell1345[[#This Row],[Brudd]]="x","",Tabell1345[[#This Row],[Verdi]])</f>
        <v>51</v>
      </c>
      <c r="BO24">
        <f>IF(Tabell1345[[#This Row],[Brudd]]="x",NA(),Tabell1345[[#This Row],[Verdi]])</f>
        <v>51</v>
      </c>
      <c r="BP24">
        <f ca="1">IF(ISERROR(Tabell1345[[#This Row],[Verdi_korrigert_IT]]),OFFSET(Tabell1345[[#This Row],[ForrigeGyldige]],-1,0),Tabell1345[[#This Row],[Verdi]])</f>
        <v>51</v>
      </c>
      <c r="BQ24">
        <f>Tabell1345[[#This Row],[Verdi]]</f>
        <v>51</v>
      </c>
    </row>
    <row r="25" spans="1:69" x14ac:dyDescent="0.35">
      <c r="A25">
        <f ca="1">IF(ISNUMBER(OFFSET(Tabell1345[[#This Row],[Nr]],-1,0)),OFFSET(Tabell1345[[#This Row],[Nr]],-1,0))+1</f>
        <v>11</v>
      </c>
      <c r="C25" s="36">
        <v>4</v>
      </c>
      <c r="D25" t="s">
        <v>105</v>
      </c>
      <c r="E25" t="s">
        <v>106</v>
      </c>
      <c r="H25" t="e">
        <f t="shared" si="6"/>
        <v>#N/A</v>
      </c>
      <c r="I25" t="b">
        <f>IF(OR(Tabell1345[[#This Row],[Brudd]]="*",ROW()-ROW(Tabell1345[#All])+1=ROWS(Tabell1345[#All])),ROW())</f>
        <v>0</v>
      </c>
      <c r="J25" s="2">
        <f ca="1">VLOOKUP(Tabell1345[[#This Row],[Nr]],$BV$2:$CB$11,4,TRUE)</f>
        <v>54.583333333333336</v>
      </c>
      <c r="K25" s="2">
        <f ca="1">VLOOKUP(Tabell1345[[#This Row],[Nr]],$BV$2:$CB$11,7,TRUE)</f>
        <v>17.826969696969698</v>
      </c>
      <c r="L25" s="2">
        <f ca="1">VLOOKUP(Tabell1345[[#This Row],[Nr]],$BV$2:$CB$11,6,TRUE)</f>
        <v>91.339696969696973</v>
      </c>
      <c r="M25" t="str">
        <f ca="1">IF(OR(Tabell1345[[#This Row],[Brudd]]="*",ISERROR(Tabell1345[[#This Row],[Verdi_korrigert_IT]])),"",IF(ISNUMBER(OFFSET(Tabell1345[[#This Row],[ForrigeGyldige]],-1,0)),ABS(Tabell1345[[#This Row],[Verdi_korrigert_IT]]-OFFSET(Tabell1345[[#This Row],[ForrigeGyldige]],-1,0)),""))</f>
        <v/>
      </c>
      <c r="N25">
        <f ca="1">IF(VLOOKUP(Tabell1345[[#This Row],[Nr]],$BV$3:$CB$11,2,TRUE)=1,VLOOKUP(Tabell1345[[#This Row],[Nr]],$BV$3:$CB$11,4,TRUE),NA())</f>
        <v>54.583333333333336</v>
      </c>
      <c r="O25" t="e">
        <f ca="1">IF(VLOOKUP(Tabell1345[[#This Row],[Nr]],$BV$3:$CB$11,2,TRUE)=2,VLOOKUP(Tabell1345[[#This Row],[Nr]],$BV$3:$CB$11,4,TRUE),NA())</f>
        <v>#N/A</v>
      </c>
      <c r="P25" s="2" t="e">
        <f ca="1">IF(VLOOKUP(Tabell1345[[#This Row],[Nr]],$BV$3:$CB$11,2,TRUE)=3,VLOOKUP(Tabell1345[[#This Row],[Nr]],$BV$3:$CB$11,4,TRUE),NA())</f>
        <v>#N/A</v>
      </c>
      <c r="Q25" t="e">
        <f ca="1">IF(VLOOKUP(Tabell1345[[#This Row],[Nr]],$BV$3:$CB$11,2,TRUE)=4,VLOOKUP(Tabell1345[[#This Row],[Nr]],$BV$3:$CB$11,4,TRUE),NA())</f>
        <v>#N/A</v>
      </c>
      <c r="R25" t="e">
        <f ca="1">IF(VLOOKUP(Tabell1345[[#This Row],[Nr]],$BV$3:$CB$11,2,TRUE)=5,VLOOKUP(Tabell1345[[#This Row],[Nr]],$BV$3:$CB$11,4,TRUE),NA())</f>
        <v>#N/A</v>
      </c>
      <c r="S25" t="e">
        <f ca="1">IF(VLOOKUP(Tabell1345[[#This Row],[Nr]],$BV$3:$CB$11,2,TRUE)=6,VLOOKUP(Tabell1345[[#This Row],[Nr]],$BV$3:$CB$11,4,TRUE),NA())</f>
        <v>#N/A</v>
      </c>
      <c r="T25" t="e">
        <f ca="1">IF(VLOOKUP(Tabell1345[[#This Row],[Nr]],$BV$3:$CB$11,2,TRUE)=7,VLOOKUP(Tabell1345[[#This Row],[Nr]],$BV$3:$CB$11,4,TRUE),NA())</f>
        <v>#N/A</v>
      </c>
      <c r="U25">
        <f ca="1">IF(VLOOKUP(Tabell1345[[#This Row],[Nr]],$BV$3:$CB$11,2,TRUE)=1,VLOOKUP(Tabell1345[[#This Row],[Nr]],$BV$3:$CB$11,6,TRUE),NA())</f>
        <v>91.339696969696973</v>
      </c>
      <c r="V25" t="e">
        <f ca="1">IF(VLOOKUP(Tabell1345[[#This Row],[Nr]],$BV$3:$CB$11,2,TRUE)=2,VLOOKUP(Tabell1345[[#This Row],[Nr]],$BV$3:$CB$11,6,TRUE),NA())</f>
        <v>#N/A</v>
      </c>
      <c r="W25" t="e">
        <f ca="1">IF(VLOOKUP(Tabell1345[[#This Row],[Nr]],$BV$3:$CB$11,2,TRUE)=3,VLOOKUP(Tabell1345[[#This Row],[Nr]],$BV$3:$CB$11,6,TRUE),NA())</f>
        <v>#N/A</v>
      </c>
      <c r="X25" t="e">
        <f ca="1">IF(VLOOKUP(Tabell1345[[#This Row],[Nr]],$BV$3:$CB$11,2,TRUE)=4,VLOOKUP(Tabell1345[[#This Row],[Nr]],$BV$3:$CB$11,6,TRUE),NA())</f>
        <v>#N/A</v>
      </c>
      <c r="Y25" t="e">
        <f ca="1">IF(VLOOKUP(Tabell1345[[#This Row],[Nr]],$BV$3:$CB$11,2,TRUE)=5,VLOOKUP(Tabell1345[[#This Row],[Nr]],$BV$3:$CB$11,6,TRUE),NA())</f>
        <v>#N/A</v>
      </c>
      <c r="Z25" t="e">
        <f ca="1">IF(VLOOKUP(Tabell1345[[#This Row],[Nr]],$BV$3:$CB$11,2,TRUE)=6,VLOOKUP(Tabell1345[[#This Row],[Nr]],$BV$3:$CB$11,6,TRUE),NA())</f>
        <v>#N/A</v>
      </c>
      <c r="AA25" t="e">
        <f ca="1">IF(VLOOKUP(Tabell1345[[#This Row],[Nr]],$BV$3:$CB$11,2,TRUE)=7,VLOOKUP(Tabell1345[[#This Row],[Nr]],$BV$3:$CB$11,6,TRUE),NA())</f>
        <v>#N/A</v>
      </c>
      <c r="AB25">
        <f ca="1">IF(VLOOKUP(Tabell1345[[#This Row],[Nr]],$BV$3:$CB$11,2,TRUE)=1,VLOOKUP(Tabell1345[[#This Row],[Nr]],$BV$3:$CB$11,7,TRUE),NA())</f>
        <v>17.826969696969698</v>
      </c>
      <c r="AC25" t="e">
        <f ca="1">IF(VLOOKUP(Tabell1345[[#This Row],[Nr]],$BV$3:$CB$11,2,TRUE)=2,VLOOKUP(Tabell1345[[#This Row],[Nr]],$BV$3:$CB$11,7,TRUE),NA())</f>
        <v>#N/A</v>
      </c>
      <c r="AD25" t="e">
        <f ca="1">IF(VLOOKUP(Tabell1345[[#This Row],[Nr]],$BV$3:$CB$11,2,TRUE)=3,VLOOKUP(Tabell1345[[#This Row],[Nr]],$BV$3:$CB$11,7,TRUE),NA())</f>
        <v>#N/A</v>
      </c>
      <c r="AE25" t="e">
        <f ca="1">IF(VLOOKUP(Tabell1345[[#This Row],[Nr]],$BV$3:$CB$11,2,TRUE)=4,VLOOKUP(Tabell1345[[#This Row],[Nr]],$BV$3:$CB$11,7,TRUE),NA())</f>
        <v>#N/A</v>
      </c>
      <c r="AF25" t="e">
        <f ca="1">IF(VLOOKUP(Tabell1345[[#This Row],[Nr]],$BV$3:$CB$11,2,TRUE)=5,VLOOKUP(Tabell1345[[#This Row],[Nr]],$BV$3:$CB$11,7,TRUE),NA())</f>
        <v>#N/A</v>
      </c>
      <c r="AG25" t="e">
        <f ca="1">IF(VLOOKUP(Tabell1345[[#This Row],[Nr]],$BV$3:$CB$11,2,TRUE)=6,VLOOKUP(Tabell1345[[#This Row],[Nr]],$BV$3:$CB$11,7,TRUE),NA())</f>
        <v>#N/A</v>
      </c>
      <c r="AH25" t="e">
        <f ca="1">IF(VLOOKUP(Tabell1345[[#This Row],[Nr]],$BV$3:$CB$11,2,TRUE)=7,VLOOKUP(Tabell1345[[#This Row],[Nr]],$BV$3:$CB$11,7,TRUE),NA())</f>
        <v>#N/A</v>
      </c>
      <c r="AI25">
        <f ca="1">IF(VLOOKUP(Tabell1345[[#This Row],[Nr]],$BV$3:$CB$11,2,TRUE)=1,VLOOKUP(Tabell1345[[#This Row],[Nr]],$BV$3:$CB$11,5,TRUE),NA())</f>
        <v>51.5</v>
      </c>
      <c r="AJ25" t="e">
        <f ca="1">IF(VLOOKUP(Tabell1345[[#This Row],[Nr]],$BV$3:$CB$11,2,TRUE)=2,VLOOKUP(Tabell1345[[#This Row],[Nr]],$BV$3:$CB$11,5,TRUE),NA())</f>
        <v>#N/A</v>
      </c>
      <c r="AK25" t="e">
        <f ca="1">IF(VLOOKUP(Tabell1345[[#This Row],[Nr]],$BV$3:$CB$11,2,TRUE)=3,VLOOKUP(Tabell1345[[#This Row],[Nr]],$BV$3:$CB$11,5,TRUE),NA())</f>
        <v>#N/A</v>
      </c>
      <c r="AL25" t="e">
        <f ca="1">IF(VLOOKUP(Tabell1345[[#This Row],[Nr]],$BV$3:$CB$11,2,TRUE)=4,VLOOKUP(Tabell1345[[#This Row],[Nr]],$BV$3:$CB$11,5,TRUE),NA())</f>
        <v>#N/A</v>
      </c>
      <c r="AM25" t="e">
        <f ca="1">IF(VLOOKUP(Tabell1345[[#This Row],[Nr]],$BV$3:$CB$11,2,TRUE)=5,VLOOKUP(Tabell1345[[#This Row],[Nr]],$BV$3:$CB$11,5,TRUE),NA())</f>
        <v>#N/A</v>
      </c>
      <c r="AN25" t="e">
        <f ca="1">IF(VLOOKUP(Tabell1345[[#This Row],[Nr]],$BV$3:$CB$11,2,TRUE)=6,VLOOKUP(Tabell1345[[#This Row],[Nr]],$BV$3:$CB$11,5,TRUE),NA())</f>
        <v>#N/A</v>
      </c>
      <c r="AO25" t="e">
        <f ca="1">IF(VLOOKUP(Tabell1345[[#This Row],[Nr]],$BV$3:$CB$11,2,TRUE)=7,VLOOKUP(Tabell1345[[#This Row],[Nr]],$BV$3:$CB$11,5,TRUE),NA())</f>
        <v>#N/A</v>
      </c>
      <c r="AP25" t="e">
        <f ca="1">IF(VLOOKUP(Tabell1345[[#This Row],[Nr]],$BV$3:$CB$11,2,TRUE)=1,Tabell1345[[#This Row],[Verdi_korrigert_IT]],NA())</f>
        <v>#N/A</v>
      </c>
      <c r="AQ25" t="e">
        <f ca="1">IF(VLOOKUP(Tabell1345[[#This Row],[Nr]],$BV$3:$CB$11,2,TRUE)=2,Tabell1345[[#This Row],[Verdi_korrigert_IT]],NA())</f>
        <v>#N/A</v>
      </c>
      <c r="AR25" t="e">
        <f ca="1">IF(VLOOKUP(Tabell1345[[#This Row],[Nr]],$BV$3:$CB$11,2,TRUE)=3,Tabell1345[[#This Row],[Verdi_korrigert_IT]],NA())</f>
        <v>#N/A</v>
      </c>
      <c r="AS25" t="e">
        <f ca="1">IF(VLOOKUP(Tabell1345[[#This Row],[Nr]],$BV$3:$CB$11,2,TRUE)=4,Tabell1345[[#This Row],[Verdi_korrigert_IT]],NA())</f>
        <v>#N/A</v>
      </c>
      <c r="AT25" t="e">
        <f ca="1">IF(VLOOKUP(Tabell1345[[#This Row],[Nr]],$BV$3:$CB$11,2,TRUE)=5,Tabell1345[[#This Row],[Verdi_korrigert_IT]],NA())</f>
        <v>#N/A</v>
      </c>
      <c r="AU25" t="e">
        <f ca="1">IF(VLOOKUP(Tabell1345[[#This Row],[Nr]],$BV$3:$CB$11,2,TRUE)=6,Tabell1345[[#This Row],[Verdi_korrigert_IT]],NA())</f>
        <v>#N/A</v>
      </c>
      <c r="AV25" t="e">
        <f ca="1">IF(VLOOKUP(Tabell1345[[#This Row],[Nr]],$BV$3:$CB$11,2,TRUE)=7,Tabell1345[[#This Row],[Verdi_korrigert_IT]],NA())</f>
        <v>#N/A</v>
      </c>
      <c r="AW25">
        <f ca="1">IF(Tabell1345[[#This Row],[Brudd]]&lt;&gt;"*",IF(ISNUMBER(OFFSET(Tabell1345[[#This Row],[ser_indeks]],-1,0)),OFFSET(Tabell1345[[#This Row],[ser_indeks]],-1,0),0),0)+1</f>
        <v>11</v>
      </c>
      <c r="AX25">
        <f ca="1">VLOOKUP(Tabell1345[[#This Row],[Nr]],$BV$2:$BW$9,2,TRUE)</f>
        <v>1</v>
      </c>
      <c r="AY25">
        <f ca="1">IF(OFFSET(Tabell1345[[#This Row],[ser_indeks]],1,0)&lt;Tabell1345[[#This Row],[ser_indeks]],1,0)</f>
        <v>0</v>
      </c>
      <c r="AZ25">
        <f ca="1">IFERROR(VALUE(Tabell1345[[#This Row],[Verdi_korrigert_IT]]),OFFSET(Tabell1345[[#This Row],[verdi_korrigert]],-1,0))</f>
        <v>51</v>
      </c>
      <c r="BA25">
        <f ca="1">_xlfn.RANK.AVG(Tabell1345[[#This Row],[verdi_korrigert]],Tabell1345[verdi_korrigert],1)</f>
        <v>22</v>
      </c>
      <c r="BB25">
        <f ca="1">IF(Tabell1345[[#This Row],[rang]]=OFFSET(Tabell1345[[#This Row],[rang]],1,0),1,0)</f>
        <v>0</v>
      </c>
      <c r="BC25">
        <f ca="1">IF(AND(Tabell1345[[#This Row],[rang]]&gt;=OFFSET(Tabell1345[[#This Row],[rang]],-1,0),Tabell1345[[#This Row],[ser_indeks]]&gt;1),IFERROR(VALUE(OFFSET(Tabell1345[[#This Row],[rang_stig]],-1,0)),0)+1,VALUE($CH$3)-1)-Tabell1345[[#This Row],[rang_samme]]</f>
        <v>0</v>
      </c>
      <c r="BD25">
        <f ca="1">IF(AND(Tabell1345[[#This Row],[rang]]&lt;=OFFSET(Tabell1345[[#This Row],[rang]],-1,0),Tabell1345[[#This Row],[ser_indeks]]&gt;1),IFERROR(VALUE(OFFSET(Tabell1345[[#This Row],[rang_synk]],-1,0)),0)+1,VALUE($CH$3)-1)-Tabell1345[[#This Row],[rang_samme]]</f>
        <v>1</v>
      </c>
      <c r="BE25">
        <f ca="1">MAXA(Tabell1345[[#This Row],[rang_stig]:[rang_synk]])</f>
        <v>1</v>
      </c>
      <c r="BF25">
        <f ca="1">($CH$2-1)+_xlfn.AGGREGATE(9,6,Tabell1345[[#This Row],[rang_samme]]:OFFSET(Tabell1345[[#This Row],[rang_samme]],($CH$2-1),0))</f>
        <v>5</v>
      </c>
      <c r="BG25" t="e">
        <f ca="1">IF($G$9="ja",IF(MAXA(Tabell1345[[#This Row],[rang_stigsynk]]:INDIRECT(ADDRESS(ROW(Tabell1345[[#This Row],[rang_stigsynk]])+Tabell1345[[#This Row],[trend_omr]],COLUMN(Tabell1345[[#This Row],[rang_stigsynk]]))))&gt;($CH$2-2),Tabell1345[[#This Row],[Verdi_korrigert_IT]],NA()),NA())</f>
        <v>#N/A</v>
      </c>
      <c r="BH25" s="5" t="e">
        <f ca="1">IF(Tabell1345[[#This Row],[ser_indeks]]&gt;3,_xlfn.AGGREGATE(4,4,OFFSET(Tabell1345[[#This Row],[Verdi1]],-3,Tabell1345[[#This Row],[serie_nr]]-1):OFFSET(Tabell1345[[#This Row],[Verdi1]],4,Tabell1345[[#This Row],[serie_nr]]-1)),NA())</f>
        <v>#N/A</v>
      </c>
      <c r="BI25" s="5" t="e">
        <f ca="1">IF(Tabell1345[[#This Row],[ser_indeks]]&gt;3,_xlfn.AGGREGATE(5,4,OFFSET(Tabell1345[[#This Row],[Verdi1]],-3,Tabell1345[[#This Row],[serie_nr]]-1):OFFSET(Tabell1345[[#This Row],[Verdi1]],4,Tabell1345[[#This Row],[serie_nr]]-1)),NA())</f>
        <v>#N/A</v>
      </c>
      <c r="BJ25" s="5" t="e">
        <f ca="1">IF(_xlfn.AGGREGATE(4,6,Tabell1345[[#This Row],[til_brudd_rader]]:OFFSET(Tabell1345[[#This Row],[til_brudd_rader]],3,0))&gt;0,NA(),IF(Tabell1345[[#This Row],[skifte_lav1]]&lt;Tabell1345[[#This Row],[Snitt]],Tabell1345[[#This Row],[Verdi_korrigert_IT]],NA()))</f>
        <v>#N/A</v>
      </c>
      <c r="BK25" s="5" t="e">
        <f ca="1">IF(_xlfn.AGGREGATE(4,6,Tabell1345[[#This Row],[til_brudd_rader]]:OFFSET(Tabell1345[[#This Row],[til_brudd_rader]],3,0))&gt;0,NA(),IF(Tabell1345[[#This Row],[skifte_høy1]]&gt;Tabell1345[[#This Row],[Snitt]],Tabell1345[[#This Row],[Verdi_korrigert_IT]],NA()))</f>
        <v>#N/A</v>
      </c>
      <c r="BL25" t="e">
        <f ca="1">IF($G$9="ja",IFERROR(IF(_xlfn.AGGREGATE(4,6,OFFSET(Tabell1345[[#This Row],[skifte_lav2]],-4,0):OFFSET(Tabell1345[[#This Row],[skifte_lav2]],3,1))&gt;0,Tabell1345[[#This Row],[Verdi_korrigert_IT]],NA()),NA()),NA())</f>
        <v>#N/A</v>
      </c>
      <c r="BM25" t="e">
        <f ca="1">IF($G$9="ja",IF(OR(Tabell1345[[#This Row],[Verdi_korrigert_IT]]&gt;Tabell1345[[#This Row],[UCL]],Tabell1345[[#This Row],[Verdi_korrigert_IT]]&lt;Tabell1345[[#This Row],[LCL]]),Tabell1345[[#This Row],[Verdi_korrigert_IT]],NA()),NA())</f>
        <v>#N/A</v>
      </c>
      <c r="BN25" t="str">
        <f>IF(Tabell1345[[#This Row],[Brudd]]="x","",Tabell1345[[#This Row],[Verdi]])</f>
        <v/>
      </c>
      <c r="BO25" t="e">
        <f>IF(Tabell1345[[#This Row],[Brudd]]="x",NA(),Tabell1345[[#This Row],[Verdi]])</f>
        <v>#N/A</v>
      </c>
      <c r="BP25">
        <f ca="1">IF(ISERROR(Tabell1345[[#This Row],[Verdi_korrigert_IT]]),OFFSET(Tabell1345[[#This Row],[ForrigeGyldige]],-1,0),Tabell1345[[#This Row],[Verdi]])</f>
        <v>51</v>
      </c>
      <c r="BQ25">
        <f>Tabell1345[[#This Row],[Verdi]]</f>
        <v>4</v>
      </c>
    </row>
    <row r="26" spans="1:69" x14ac:dyDescent="0.35">
      <c r="A26">
        <f ca="1">IF(ISNUMBER(OFFSET(Tabell1345[[#This Row],[Nr]],-1,0)),OFFSET(Tabell1345[[#This Row],[Nr]],-1,0))+1</f>
        <v>12</v>
      </c>
      <c r="C26" s="36">
        <v>58</v>
      </c>
      <c r="H26" t="e">
        <f t="shared" si="6"/>
        <v>#N/A</v>
      </c>
      <c r="I26" t="b">
        <f>IF(OR(Tabell1345[[#This Row],[Brudd]]="*",ROW()-ROW(Tabell1345[#All])+1=ROWS(Tabell1345[#All])),ROW())</f>
        <v>0</v>
      </c>
      <c r="J26" s="2">
        <f ca="1">VLOOKUP(Tabell1345[[#This Row],[Nr]],$BV$2:$CB$11,4,TRUE)</f>
        <v>54.583333333333336</v>
      </c>
      <c r="K26" s="2">
        <f ca="1">VLOOKUP(Tabell1345[[#This Row],[Nr]],$BV$2:$CB$11,7,TRUE)</f>
        <v>17.826969696969698</v>
      </c>
      <c r="L26" s="2">
        <f ca="1">VLOOKUP(Tabell1345[[#This Row],[Nr]],$BV$2:$CB$11,6,TRUE)</f>
        <v>91.339696969696973</v>
      </c>
      <c r="M26">
        <f ca="1">IF(OR(Tabell1345[[#This Row],[Brudd]]="*",ISERROR(Tabell1345[[#This Row],[Verdi_korrigert_IT]])),"",IF(ISNUMBER(OFFSET(Tabell1345[[#This Row],[ForrigeGyldige]],-1,0)),ABS(Tabell1345[[#This Row],[Verdi_korrigert_IT]]-OFFSET(Tabell1345[[#This Row],[ForrigeGyldige]],-1,0)),""))</f>
        <v>7</v>
      </c>
      <c r="N26">
        <f ca="1">IF(VLOOKUP(Tabell1345[[#This Row],[Nr]],$BV$3:$CB$11,2,TRUE)=1,VLOOKUP(Tabell1345[[#This Row],[Nr]],$BV$3:$CB$11,4,TRUE),NA())</f>
        <v>54.583333333333336</v>
      </c>
      <c r="O26" t="e">
        <f ca="1">IF(VLOOKUP(Tabell1345[[#This Row],[Nr]],$BV$3:$CB$11,2,TRUE)=2,VLOOKUP(Tabell1345[[#This Row],[Nr]],$BV$3:$CB$11,4,TRUE),NA())</f>
        <v>#N/A</v>
      </c>
      <c r="P26" s="2" t="e">
        <f ca="1">IF(VLOOKUP(Tabell1345[[#This Row],[Nr]],$BV$3:$CB$11,2,TRUE)=3,VLOOKUP(Tabell1345[[#This Row],[Nr]],$BV$3:$CB$11,4,TRUE),NA())</f>
        <v>#N/A</v>
      </c>
      <c r="Q26" t="e">
        <f ca="1">IF(VLOOKUP(Tabell1345[[#This Row],[Nr]],$BV$3:$CB$11,2,TRUE)=4,VLOOKUP(Tabell1345[[#This Row],[Nr]],$BV$3:$CB$11,4,TRUE),NA())</f>
        <v>#N/A</v>
      </c>
      <c r="R26" t="e">
        <f ca="1">IF(VLOOKUP(Tabell1345[[#This Row],[Nr]],$BV$3:$CB$11,2,TRUE)=5,VLOOKUP(Tabell1345[[#This Row],[Nr]],$BV$3:$CB$11,4,TRUE),NA())</f>
        <v>#N/A</v>
      </c>
      <c r="S26" t="e">
        <f ca="1">IF(VLOOKUP(Tabell1345[[#This Row],[Nr]],$BV$3:$CB$11,2,TRUE)=6,VLOOKUP(Tabell1345[[#This Row],[Nr]],$BV$3:$CB$11,4,TRUE),NA())</f>
        <v>#N/A</v>
      </c>
      <c r="T26" t="e">
        <f ca="1">IF(VLOOKUP(Tabell1345[[#This Row],[Nr]],$BV$3:$CB$11,2,TRUE)=7,VLOOKUP(Tabell1345[[#This Row],[Nr]],$BV$3:$CB$11,4,TRUE),NA())</f>
        <v>#N/A</v>
      </c>
      <c r="U26">
        <f ca="1">IF(VLOOKUP(Tabell1345[[#This Row],[Nr]],$BV$3:$CB$11,2,TRUE)=1,VLOOKUP(Tabell1345[[#This Row],[Nr]],$BV$3:$CB$11,6,TRUE),NA())</f>
        <v>91.339696969696973</v>
      </c>
      <c r="V26" t="e">
        <f ca="1">IF(VLOOKUP(Tabell1345[[#This Row],[Nr]],$BV$3:$CB$11,2,TRUE)=2,VLOOKUP(Tabell1345[[#This Row],[Nr]],$BV$3:$CB$11,6,TRUE),NA())</f>
        <v>#N/A</v>
      </c>
      <c r="W26" t="e">
        <f ca="1">IF(VLOOKUP(Tabell1345[[#This Row],[Nr]],$BV$3:$CB$11,2,TRUE)=3,VLOOKUP(Tabell1345[[#This Row],[Nr]],$BV$3:$CB$11,6,TRUE),NA())</f>
        <v>#N/A</v>
      </c>
      <c r="X26" t="e">
        <f ca="1">IF(VLOOKUP(Tabell1345[[#This Row],[Nr]],$BV$3:$CB$11,2,TRUE)=4,VLOOKUP(Tabell1345[[#This Row],[Nr]],$BV$3:$CB$11,6,TRUE),NA())</f>
        <v>#N/A</v>
      </c>
      <c r="Y26" t="e">
        <f ca="1">IF(VLOOKUP(Tabell1345[[#This Row],[Nr]],$BV$3:$CB$11,2,TRUE)=5,VLOOKUP(Tabell1345[[#This Row],[Nr]],$BV$3:$CB$11,6,TRUE),NA())</f>
        <v>#N/A</v>
      </c>
      <c r="Z26" t="e">
        <f ca="1">IF(VLOOKUP(Tabell1345[[#This Row],[Nr]],$BV$3:$CB$11,2,TRUE)=6,VLOOKUP(Tabell1345[[#This Row],[Nr]],$BV$3:$CB$11,6,TRUE),NA())</f>
        <v>#N/A</v>
      </c>
      <c r="AA26" t="e">
        <f ca="1">IF(VLOOKUP(Tabell1345[[#This Row],[Nr]],$BV$3:$CB$11,2,TRUE)=7,VLOOKUP(Tabell1345[[#This Row],[Nr]],$BV$3:$CB$11,6,TRUE),NA())</f>
        <v>#N/A</v>
      </c>
      <c r="AB26">
        <f ca="1">IF(VLOOKUP(Tabell1345[[#This Row],[Nr]],$BV$3:$CB$11,2,TRUE)=1,VLOOKUP(Tabell1345[[#This Row],[Nr]],$BV$3:$CB$11,7,TRUE),NA())</f>
        <v>17.826969696969698</v>
      </c>
      <c r="AC26" t="e">
        <f ca="1">IF(VLOOKUP(Tabell1345[[#This Row],[Nr]],$BV$3:$CB$11,2,TRUE)=2,VLOOKUP(Tabell1345[[#This Row],[Nr]],$BV$3:$CB$11,7,TRUE),NA())</f>
        <v>#N/A</v>
      </c>
      <c r="AD26" t="e">
        <f ca="1">IF(VLOOKUP(Tabell1345[[#This Row],[Nr]],$BV$3:$CB$11,2,TRUE)=3,VLOOKUP(Tabell1345[[#This Row],[Nr]],$BV$3:$CB$11,7,TRUE),NA())</f>
        <v>#N/A</v>
      </c>
      <c r="AE26" t="e">
        <f ca="1">IF(VLOOKUP(Tabell1345[[#This Row],[Nr]],$BV$3:$CB$11,2,TRUE)=4,VLOOKUP(Tabell1345[[#This Row],[Nr]],$BV$3:$CB$11,7,TRUE),NA())</f>
        <v>#N/A</v>
      </c>
      <c r="AF26" t="e">
        <f ca="1">IF(VLOOKUP(Tabell1345[[#This Row],[Nr]],$BV$3:$CB$11,2,TRUE)=5,VLOOKUP(Tabell1345[[#This Row],[Nr]],$BV$3:$CB$11,7,TRUE),NA())</f>
        <v>#N/A</v>
      </c>
      <c r="AG26" t="e">
        <f ca="1">IF(VLOOKUP(Tabell1345[[#This Row],[Nr]],$BV$3:$CB$11,2,TRUE)=6,VLOOKUP(Tabell1345[[#This Row],[Nr]],$BV$3:$CB$11,7,TRUE),NA())</f>
        <v>#N/A</v>
      </c>
      <c r="AH26" t="e">
        <f ca="1">IF(VLOOKUP(Tabell1345[[#This Row],[Nr]],$BV$3:$CB$11,2,TRUE)=7,VLOOKUP(Tabell1345[[#This Row],[Nr]],$BV$3:$CB$11,7,TRUE),NA())</f>
        <v>#N/A</v>
      </c>
      <c r="AI26">
        <f ca="1">IF(VLOOKUP(Tabell1345[[#This Row],[Nr]],$BV$3:$CB$11,2,TRUE)=1,VLOOKUP(Tabell1345[[#This Row],[Nr]],$BV$3:$CB$11,5,TRUE),NA())</f>
        <v>51.5</v>
      </c>
      <c r="AJ26" t="e">
        <f ca="1">IF(VLOOKUP(Tabell1345[[#This Row],[Nr]],$BV$3:$CB$11,2,TRUE)=2,VLOOKUP(Tabell1345[[#This Row],[Nr]],$BV$3:$CB$11,5,TRUE),NA())</f>
        <v>#N/A</v>
      </c>
      <c r="AK26" t="e">
        <f ca="1">IF(VLOOKUP(Tabell1345[[#This Row],[Nr]],$BV$3:$CB$11,2,TRUE)=3,VLOOKUP(Tabell1345[[#This Row],[Nr]],$BV$3:$CB$11,5,TRUE),NA())</f>
        <v>#N/A</v>
      </c>
      <c r="AL26" t="e">
        <f ca="1">IF(VLOOKUP(Tabell1345[[#This Row],[Nr]],$BV$3:$CB$11,2,TRUE)=4,VLOOKUP(Tabell1345[[#This Row],[Nr]],$BV$3:$CB$11,5,TRUE),NA())</f>
        <v>#N/A</v>
      </c>
      <c r="AM26" t="e">
        <f ca="1">IF(VLOOKUP(Tabell1345[[#This Row],[Nr]],$BV$3:$CB$11,2,TRUE)=5,VLOOKUP(Tabell1345[[#This Row],[Nr]],$BV$3:$CB$11,5,TRUE),NA())</f>
        <v>#N/A</v>
      </c>
      <c r="AN26" t="e">
        <f ca="1">IF(VLOOKUP(Tabell1345[[#This Row],[Nr]],$BV$3:$CB$11,2,TRUE)=6,VLOOKUP(Tabell1345[[#This Row],[Nr]],$BV$3:$CB$11,5,TRUE),NA())</f>
        <v>#N/A</v>
      </c>
      <c r="AO26" t="e">
        <f ca="1">IF(VLOOKUP(Tabell1345[[#This Row],[Nr]],$BV$3:$CB$11,2,TRUE)=7,VLOOKUP(Tabell1345[[#This Row],[Nr]],$BV$3:$CB$11,5,TRUE),NA())</f>
        <v>#N/A</v>
      </c>
      <c r="AP26">
        <f ca="1">IF(VLOOKUP(Tabell1345[[#This Row],[Nr]],$BV$3:$CB$11,2,TRUE)=1,Tabell1345[[#This Row],[Verdi_korrigert_IT]],NA())</f>
        <v>58</v>
      </c>
      <c r="AQ26" t="e">
        <f ca="1">IF(VLOOKUP(Tabell1345[[#This Row],[Nr]],$BV$3:$CB$11,2,TRUE)=2,Tabell1345[[#This Row],[Verdi_korrigert_IT]],NA())</f>
        <v>#N/A</v>
      </c>
      <c r="AR26" t="e">
        <f ca="1">IF(VLOOKUP(Tabell1345[[#This Row],[Nr]],$BV$3:$CB$11,2,TRUE)=3,Tabell1345[[#This Row],[Verdi_korrigert_IT]],NA())</f>
        <v>#N/A</v>
      </c>
      <c r="AS26" t="e">
        <f ca="1">IF(VLOOKUP(Tabell1345[[#This Row],[Nr]],$BV$3:$CB$11,2,TRUE)=4,Tabell1345[[#This Row],[Verdi_korrigert_IT]],NA())</f>
        <v>#N/A</v>
      </c>
      <c r="AT26" t="e">
        <f ca="1">IF(VLOOKUP(Tabell1345[[#This Row],[Nr]],$BV$3:$CB$11,2,TRUE)=5,Tabell1345[[#This Row],[Verdi_korrigert_IT]],NA())</f>
        <v>#N/A</v>
      </c>
      <c r="AU26" t="e">
        <f ca="1">IF(VLOOKUP(Tabell1345[[#This Row],[Nr]],$BV$3:$CB$11,2,TRUE)=6,Tabell1345[[#This Row],[Verdi_korrigert_IT]],NA())</f>
        <v>#N/A</v>
      </c>
      <c r="AV26" t="e">
        <f ca="1">IF(VLOOKUP(Tabell1345[[#This Row],[Nr]],$BV$3:$CB$11,2,TRUE)=7,Tabell1345[[#This Row],[Verdi_korrigert_IT]],NA())</f>
        <v>#N/A</v>
      </c>
      <c r="AW26">
        <f ca="1">IF(Tabell1345[[#This Row],[Brudd]]&lt;&gt;"*",IF(ISNUMBER(OFFSET(Tabell1345[[#This Row],[ser_indeks]],-1,0)),OFFSET(Tabell1345[[#This Row],[ser_indeks]],-1,0),0),0)+1</f>
        <v>12</v>
      </c>
      <c r="AX26">
        <f ca="1">VLOOKUP(Tabell1345[[#This Row],[Nr]],$BV$2:$BW$9,2,TRUE)</f>
        <v>1</v>
      </c>
      <c r="AY26">
        <f ca="1">IF(OFFSET(Tabell1345[[#This Row],[ser_indeks]],1,0)&lt;Tabell1345[[#This Row],[ser_indeks]],1,0)</f>
        <v>0</v>
      </c>
      <c r="AZ26">
        <f ca="1">IFERROR(VALUE(Tabell1345[[#This Row],[Verdi_korrigert_IT]]),OFFSET(Tabell1345[[#This Row],[verdi_korrigert]],-1,0))</f>
        <v>58</v>
      </c>
      <c r="BA26">
        <f ca="1">_xlfn.RANK.AVG(Tabell1345[[#This Row],[verdi_korrigert]],Tabell1345[verdi_korrigert],1)</f>
        <v>30.5</v>
      </c>
      <c r="BB26">
        <f ca="1">IF(Tabell1345[[#This Row],[rang]]=OFFSET(Tabell1345[[#This Row],[rang]],1,0),1,0)</f>
        <v>0</v>
      </c>
      <c r="BC26">
        <f ca="1">IF(AND(Tabell1345[[#This Row],[rang]]&gt;=OFFSET(Tabell1345[[#This Row],[rang]],-1,0),Tabell1345[[#This Row],[ser_indeks]]&gt;1),IFERROR(VALUE(OFFSET(Tabell1345[[#This Row],[rang_stig]],-1,0)),0)+1,VALUE($CH$3)-1)-Tabell1345[[#This Row],[rang_samme]]</f>
        <v>1</v>
      </c>
      <c r="BD26">
        <f ca="1">IF(AND(Tabell1345[[#This Row],[rang]]&lt;=OFFSET(Tabell1345[[#This Row],[rang]],-1,0),Tabell1345[[#This Row],[ser_indeks]]&gt;1),IFERROR(VALUE(OFFSET(Tabell1345[[#This Row],[rang_synk]],-1,0)),0)+1,VALUE($CH$3)-1)-Tabell1345[[#This Row],[rang_samme]]</f>
        <v>0</v>
      </c>
      <c r="BE26">
        <f ca="1">MAXA(Tabell1345[[#This Row],[rang_stig]:[rang_synk]])</f>
        <v>1</v>
      </c>
      <c r="BF26">
        <f ca="1">($CH$2-1)+_xlfn.AGGREGATE(9,6,Tabell1345[[#This Row],[rang_samme]]:OFFSET(Tabell1345[[#This Row],[rang_samme]],($CH$2-1),0))</f>
        <v>5</v>
      </c>
      <c r="BG26" t="e">
        <f ca="1">IF($G$9="ja",IF(MAXA(Tabell1345[[#This Row],[rang_stigsynk]]:INDIRECT(ADDRESS(ROW(Tabell1345[[#This Row],[rang_stigsynk]])+Tabell1345[[#This Row],[trend_omr]],COLUMN(Tabell1345[[#This Row],[rang_stigsynk]]))))&gt;($CH$2-2),Tabell1345[[#This Row],[Verdi_korrigert_IT]],NA()),NA())</f>
        <v>#N/A</v>
      </c>
      <c r="BH26" s="5" t="e">
        <f ca="1">IF(Tabell1345[[#This Row],[ser_indeks]]&gt;3,_xlfn.AGGREGATE(4,4,OFFSET(Tabell1345[[#This Row],[Verdi1]],-3,Tabell1345[[#This Row],[serie_nr]]-1):OFFSET(Tabell1345[[#This Row],[Verdi1]],4,Tabell1345[[#This Row],[serie_nr]]-1)),NA())</f>
        <v>#N/A</v>
      </c>
      <c r="BI26" s="5" t="e">
        <f ca="1">IF(Tabell1345[[#This Row],[ser_indeks]]&gt;3,_xlfn.AGGREGATE(5,4,OFFSET(Tabell1345[[#This Row],[Verdi1]],-3,Tabell1345[[#This Row],[serie_nr]]-1):OFFSET(Tabell1345[[#This Row],[Verdi1]],4,Tabell1345[[#This Row],[serie_nr]]-1)),NA())</f>
        <v>#N/A</v>
      </c>
      <c r="BJ26" s="5" t="e">
        <f ca="1">IF(_xlfn.AGGREGATE(4,6,Tabell1345[[#This Row],[til_brudd_rader]]:OFFSET(Tabell1345[[#This Row],[til_brudd_rader]],3,0))&gt;0,NA(),IF(Tabell1345[[#This Row],[skifte_lav1]]&lt;Tabell1345[[#This Row],[Snitt]],Tabell1345[[#This Row],[Verdi_korrigert_IT]],NA()))</f>
        <v>#N/A</v>
      </c>
      <c r="BK26" s="5" t="e">
        <f ca="1">IF(_xlfn.AGGREGATE(4,6,Tabell1345[[#This Row],[til_brudd_rader]]:OFFSET(Tabell1345[[#This Row],[til_brudd_rader]],3,0))&gt;0,NA(),IF(Tabell1345[[#This Row],[skifte_høy1]]&gt;Tabell1345[[#This Row],[Snitt]],Tabell1345[[#This Row],[Verdi_korrigert_IT]],NA()))</f>
        <v>#N/A</v>
      </c>
      <c r="BL26" t="e">
        <f ca="1">IF($G$9="ja",IFERROR(IF(_xlfn.AGGREGATE(4,6,OFFSET(Tabell1345[[#This Row],[skifte_lav2]],-4,0):OFFSET(Tabell1345[[#This Row],[skifte_lav2]],3,1))&gt;0,Tabell1345[[#This Row],[Verdi_korrigert_IT]],NA()),NA()),NA())</f>
        <v>#N/A</v>
      </c>
      <c r="BM26" t="e">
        <f ca="1">IF($G$9="ja",IF(OR(Tabell1345[[#This Row],[Verdi_korrigert_IT]]&gt;Tabell1345[[#This Row],[UCL]],Tabell1345[[#This Row],[Verdi_korrigert_IT]]&lt;Tabell1345[[#This Row],[LCL]]),Tabell1345[[#This Row],[Verdi_korrigert_IT]],NA()),NA())</f>
        <v>#N/A</v>
      </c>
      <c r="BN26">
        <f>IF(Tabell1345[[#This Row],[Brudd]]="x","",Tabell1345[[#This Row],[Verdi]])</f>
        <v>58</v>
      </c>
      <c r="BO26">
        <f>IF(Tabell1345[[#This Row],[Brudd]]="x",NA(),Tabell1345[[#This Row],[Verdi]])</f>
        <v>58</v>
      </c>
      <c r="BP26">
        <f ca="1">IF(ISERROR(Tabell1345[[#This Row],[Verdi_korrigert_IT]]),OFFSET(Tabell1345[[#This Row],[ForrigeGyldige]],-1,0),Tabell1345[[#This Row],[Verdi]])</f>
        <v>58</v>
      </c>
      <c r="BQ26">
        <f>Tabell1345[[#This Row],[Verdi]]</f>
        <v>58</v>
      </c>
    </row>
    <row r="27" spans="1:69" x14ac:dyDescent="0.35">
      <c r="A27">
        <f ca="1">IF(ISNUMBER(OFFSET(Tabell1345[[#This Row],[Nr]],-1,0)),OFFSET(Tabell1345[[#This Row],[Nr]],-1,0))+1</f>
        <v>13</v>
      </c>
      <c r="C27" s="36">
        <v>54</v>
      </c>
      <c r="H27" t="e">
        <f t="shared" si="6"/>
        <v>#N/A</v>
      </c>
      <c r="I27" t="b">
        <f>IF(OR(Tabell1345[[#This Row],[Brudd]]="*",ROW()-ROW(Tabell1345[#All])+1=ROWS(Tabell1345[#All])),ROW())</f>
        <v>0</v>
      </c>
      <c r="J27" s="2">
        <f ca="1">VLOOKUP(Tabell1345[[#This Row],[Nr]],$BV$2:$CB$11,4,TRUE)</f>
        <v>54.583333333333336</v>
      </c>
      <c r="K27" s="2">
        <f ca="1">VLOOKUP(Tabell1345[[#This Row],[Nr]],$BV$2:$CB$11,7,TRUE)</f>
        <v>17.826969696969698</v>
      </c>
      <c r="L27" s="2">
        <f ca="1">VLOOKUP(Tabell1345[[#This Row],[Nr]],$BV$2:$CB$11,6,TRUE)</f>
        <v>91.339696969696973</v>
      </c>
      <c r="M27">
        <f ca="1">IF(OR(Tabell1345[[#This Row],[Brudd]]="*",ISERROR(Tabell1345[[#This Row],[Verdi_korrigert_IT]])),"",IF(ISNUMBER(OFFSET(Tabell1345[[#This Row],[ForrigeGyldige]],-1,0)),ABS(Tabell1345[[#This Row],[Verdi_korrigert_IT]]-OFFSET(Tabell1345[[#This Row],[ForrigeGyldige]],-1,0)),""))</f>
        <v>4</v>
      </c>
      <c r="N27">
        <f ca="1">IF(VLOOKUP(Tabell1345[[#This Row],[Nr]],$BV$3:$CB$11,2,TRUE)=1,VLOOKUP(Tabell1345[[#This Row],[Nr]],$BV$3:$CB$11,4,TRUE),NA())</f>
        <v>54.583333333333336</v>
      </c>
      <c r="O27" t="e">
        <f ca="1">IF(VLOOKUP(Tabell1345[[#This Row],[Nr]],$BV$3:$CB$11,2,TRUE)=2,VLOOKUP(Tabell1345[[#This Row],[Nr]],$BV$3:$CB$11,4,TRUE),NA())</f>
        <v>#N/A</v>
      </c>
      <c r="P27" s="2" t="e">
        <f ca="1">IF(VLOOKUP(Tabell1345[[#This Row],[Nr]],$BV$3:$CB$11,2,TRUE)=3,VLOOKUP(Tabell1345[[#This Row],[Nr]],$BV$3:$CB$11,4,TRUE),NA())</f>
        <v>#N/A</v>
      </c>
      <c r="Q27" t="e">
        <f ca="1">IF(VLOOKUP(Tabell1345[[#This Row],[Nr]],$BV$3:$CB$11,2,TRUE)=4,VLOOKUP(Tabell1345[[#This Row],[Nr]],$BV$3:$CB$11,4,TRUE),NA())</f>
        <v>#N/A</v>
      </c>
      <c r="R27" t="e">
        <f ca="1">IF(VLOOKUP(Tabell1345[[#This Row],[Nr]],$BV$3:$CB$11,2,TRUE)=5,VLOOKUP(Tabell1345[[#This Row],[Nr]],$BV$3:$CB$11,4,TRUE),NA())</f>
        <v>#N/A</v>
      </c>
      <c r="S27" t="e">
        <f ca="1">IF(VLOOKUP(Tabell1345[[#This Row],[Nr]],$BV$3:$CB$11,2,TRUE)=6,VLOOKUP(Tabell1345[[#This Row],[Nr]],$BV$3:$CB$11,4,TRUE),NA())</f>
        <v>#N/A</v>
      </c>
      <c r="T27" t="e">
        <f ca="1">IF(VLOOKUP(Tabell1345[[#This Row],[Nr]],$BV$3:$CB$11,2,TRUE)=7,VLOOKUP(Tabell1345[[#This Row],[Nr]],$BV$3:$CB$11,4,TRUE),NA())</f>
        <v>#N/A</v>
      </c>
      <c r="U27">
        <f ca="1">IF(VLOOKUP(Tabell1345[[#This Row],[Nr]],$BV$3:$CB$11,2,TRUE)=1,VLOOKUP(Tabell1345[[#This Row],[Nr]],$BV$3:$CB$11,6,TRUE),NA())</f>
        <v>91.339696969696973</v>
      </c>
      <c r="V27" t="e">
        <f ca="1">IF(VLOOKUP(Tabell1345[[#This Row],[Nr]],$BV$3:$CB$11,2,TRUE)=2,VLOOKUP(Tabell1345[[#This Row],[Nr]],$BV$3:$CB$11,6,TRUE),NA())</f>
        <v>#N/A</v>
      </c>
      <c r="W27" t="e">
        <f ca="1">IF(VLOOKUP(Tabell1345[[#This Row],[Nr]],$BV$3:$CB$11,2,TRUE)=3,VLOOKUP(Tabell1345[[#This Row],[Nr]],$BV$3:$CB$11,6,TRUE),NA())</f>
        <v>#N/A</v>
      </c>
      <c r="X27" t="e">
        <f ca="1">IF(VLOOKUP(Tabell1345[[#This Row],[Nr]],$BV$3:$CB$11,2,TRUE)=4,VLOOKUP(Tabell1345[[#This Row],[Nr]],$BV$3:$CB$11,6,TRUE),NA())</f>
        <v>#N/A</v>
      </c>
      <c r="Y27" t="e">
        <f ca="1">IF(VLOOKUP(Tabell1345[[#This Row],[Nr]],$BV$3:$CB$11,2,TRUE)=5,VLOOKUP(Tabell1345[[#This Row],[Nr]],$BV$3:$CB$11,6,TRUE),NA())</f>
        <v>#N/A</v>
      </c>
      <c r="Z27" t="e">
        <f ca="1">IF(VLOOKUP(Tabell1345[[#This Row],[Nr]],$BV$3:$CB$11,2,TRUE)=6,VLOOKUP(Tabell1345[[#This Row],[Nr]],$BV$3:$CB$11,6,TRUE),NA())</f>
        <v>#N/A</v>
      </c>
      <c r="AA27" t="e">
        <f ca="1">IF(VLOOKUP(Tabell1345[[#This Row],[Nr]],$BV$3:$CB$11,2,TRUE)=7,VLOOKUP(Tabell1345[[#This Row],[Nr]],$BV$3:$CB$11,6,TRUE),NA())</f>
        <v>#N/A</v>
      </c>
      <c r="AB27">
        <f ca="1">IF(VLOOKUP(Tabell1345[[#This Row],[Nr]],$BV$3:$CB$11,2,TRUE)=1,VLOOKUP(Tabell1345[[#This Row],[Nr]],$BV$3:$CB$11,7,TRUE),NA())</f>
        <v>17.826969696969698</v>
      </c>
      <c r="AC27" t="e">
        <f ca="1">IF(VLOOKUP(Tabell1345[[#This Row],[Nr]],$BV$3:$CB$11,2,TRUE)=2,VLOOKUP(Tabell1345[[#This Row],[Nr]],$BV$3:$CB$11,7,TRUE),NA())</f>
        <v>#N/A</v>
      </c>
      <c r="AD27" t="e">
        <f ca="1">IF(VLOOKUP(Tabell1345[[#This Row],[Nr]],$BV$3:$CB$11,2,TRUE)=3,VLOOKUP(Tabell1345[[#This Row],[Nr]],$BV$3:$CB$11,7,TRUE),NA())</f>
        <v>#N/A</v>
      </c>
      <c r="AE27" t="e">
        <f ca="1">IF(VLOOKUP(Tabell1345[[#This Row],[Nr]],$BV$3:$CB$11,2,TRUE)=4,VLOOKUP(Tabell1345[[#This Row],[Nr]],$BV$3:$CB$11,7,TRUE),NA())</f>
        <v>#N/A</v>
      </c>
      <c r="AF27" t="e">
        <f ca="1">IF(VLOOKUP(Tabell1345[[#This Row],[Nr]],$BV$3:$CB$11,2,TRUE)=5,VLOOKUP(Tabell1345[[#This Row],[Nr]],$BV$3:$CB$11,7,TRUE),NA())</f>
        <v>#N/A</v>
      </c>
      <c r="AG27" t="e">
        <f ca="1">IF(VLOOKUP(Tabell1345[[#This Row],[Nr]],$BV$3:$CB$11,2,TRUE)=6,VLOOKUP(Tabell1345[[#This Row],[Nr]],$BV$3:$CB$11,7,TRUE),NA())</f>
        <v>#N/A</v>
      </c>
      <c r="AH27" t="e">
        <f ca="1">IF(VLOOKUP(Tabell1345[[#This Row],[Nr]],$BV$3:$CB$11,2,TRUE)=7,VLOOKUP(Tabell1345[[#This Row],[Nr]],$BV$3:$CB$11,7,TRUE),NA())</f>
        <v>#N/A</v>
      </c>
      <c r="AI27">
        <f ca="1">IF(VLOOKUP(Tabell1345[[#This Row],[Nr]],$BV$3:$CB$11,2,TRUE)=1,VLOOKUP(Tabell1345[[#This Row],[Nr]],$BV$3:$CB$11,5,TRUE),NA())</f>
        <v>51.5</v>
      </c>
      <c r="AJ27" t="e">
        <f ca="1">IF(VLOOKUP(Tabell1345[[#This Row],[Nr]],$BV$3:$CB$11,2,TRUE)=2,VLOOKUP(Tabell1345[[#This Row],[Nr]],$BV$3:$CB$11,5,TRUE),NA())</f>
        <v>#N/A</v>
      </c>
      <c r="AK27" t="e">
        <f ca="1">IF(VLOOKUP(Tabell1345[[#This Row],[Nr]],$BV$3:$CB$11,2,TRUE)=3,VLOOKUP(Tabell1345[[#This Row],[Nr]],$BV$3:$CB$11,5,TRUE),NA())</f>
        <v>#N/A</v>
      </c>
      <c r="AL27" t="e">
        <f ca="1">IF(VLOOKUP(Tabell1345[[#This Row],[Nr]],$BV$3:$CB$11,2,TRUE)=4,VLOOKUP(Tabell1345[[#This Row],[Nr]],$BV$3:$CB$11,5,TRUE),NA())</f>
        <v>#N/A</v>
      </c>
      <c r="AM27" t="e">
        <f ca="1">IF(VLOOKUP(Tabell1345[[#This Row],[Nr]],$BV$3:$CB$11,2,TRUE)=5,VLOOKUP(Tabell1345[[#This Row],[Nr]],$BV$3:$CB$11,5,TRUE),NA())</f>
        <v>#N/A</v>
      </c>
      <c r="AN27" t="e">
        <f ca="1">IF(VLOOKUP(Tabell1345[[#This Row],[Nr]],$BV$3:$CB$11,2,TRUE)=6,VLOOKUP(Tabell1345[[#This Row],[Nr]],$BV$3:$CB$11,5,TRUE),NA())</f>
        <v>#N/A</v>
      </c>
      <c r="AO27" t="e">
        <f ca="1">IF(VLOOKUP(Tabell1345[[#This Row],[Nr]],$BV$3:$CB$11,2,TRUE)=7,VLOOKUP(Tabell1345[[#This Row],[Nr]],$BV$3:$CB$11,5,TRUE),NA())</f>
        <v>#N/A</v>
      </c>
      <c r="AP27">
        <f ca="1">IF(VLOOKUP(Tabell1345[[#This Row],[Nr]],$BV$3:$CB$11,2,TRUE)=1,Tabell1345[[#This Row],[Verdi_korrigert_IT]],NA())</f>
        <v>54</v>
      </c>
      <c r="AQ27" t="e">
        <f ca="1">IF(VLOOKUP(Tabell1345[[#This Row],[Nr]],$BV$3:$CB$11,2,TRUE)=2,Tabell1345[[#This Row],[Verdi_korrigert_IT]],NA())</f>
        <v>#N/A</v>
      </c>
      <c r="AR27" t="e">
        <f ca="1">IF(VLOOKUP(Tabell1345[[#This Row],[Nr]],$BV$3:$CB$11,2,TRUE)=3,Tabell1345[[#This Row],[Verdi_korrigert_IT]],NA())</f>
        <v>#N/A</v>
      </c>
      <c r="AS27" t="e">
        <f ca="1">IF(VLOOKUP(Tabell1345[[#This Row],[Nr]],$BV$3:$CB$11,2,TRUE)=4,Tabell1345[[#This Row],[Verdi_korrigert_IT]],NA())</f>
        <v>#N/A</v>
      </c>
      <c r="AT27" t="e">
        <f ca="1">IF(VLOOKUP(Tabell1345[[#This Row],[Nr]],$BV$3:$CB$11,2,TRUE)=5,Tabell1345[[#This Row],[Verdi_korrigert_IT]],NA())</f>
        <v>#N/A</v>
      </c>
      <c r="AU27" t="e">
        <f ca="1">IF(VLOOKUP(Tabell1345[[#This Row],[Nr]],$BV$3:$CB$11,2,TRUE)=6,Tabell1345[[#This Row],[Verdi_korrigert_IT]],NA())</f>
        <v>#N/A</v>
      </c>
      <c r="AV27" t="e">
        <f ca="1">IF(VLOOKUP(Tabell1345[[#This Row],[Nr]],$BV$3:$CB$11,2,TRUE)=7,Tabell1345[[#This Row],[Verdi_korrigert_IT]],NA())</f>
        <v>#N/A</v>
      </c>
      <c r="AW27">
        <f ca="1">IF(Tabell1345[[#This Row],[Brudd]]&lt;&gt;"*",IF(ISNUMBER(OFFSET(Tabell1345[[#This Row],[ser_indeks]],-1,0)),OFFSET(Tabell1345[[#This Row],[ser_indeks]],-1,0),0),0)+1</f>
        <v>13</v>
      </c>
      <c r="AX27">
        <f ca="1">VLOOKUP(Tabell1345[[#This Row],[Nr]],$BV$2:$BW$9,2,TRUE)</f>
        <v>1</v>
      </c>
      <c r="AY27">
        <f ca="1">IF(OFFSET(Tabell1345[[#This Row],[ser_indeks]],1,0)&lt;Tabell1345[[#This Row],[ser_indeks]],1,0)</f>
        <v>1</v>
      </c>
      <c r="AZ27">
        <f ca="1">IFERROR(VALUE(Tabell1345[[#This Row],[Verdi_korrigert_IT]]),OFFSET(Tabell1345[[#This Row],[verdi_korrigert]],-1,0))</f>
        <v>54</v>
      </c>
      <c r="BA27">
        <f ca="1">_xlfn.RANK.AVG(Tabell1345[[#This Row],[verdi_korrigert]],Tabell1345[verdi_korrigert],1)</f>
        <v>28</v>
      </c>
      <c r="BB27">
        <f ca="1">IF(Tabell1345[[#This Row],[rang]]=OFFSET(Tabell1345[[#This Row],[rang]],1,0),1,0)</f>
        <v>0</v>
      </c>
      <c r="BC27">
        <f ca="1">IF(AND(Tabell1345[[#This Row],[rang]]&gt;=OFFSET(Tabell1345[[#This Row],[rang]],-1,0),Tabell1345[[#This Row],[ser_indeks]]&gt;1),IFERROR(VALUE(OFFSET(Tabell1345[[#This Row],[rang_stig]],-1,0)),0)+1,VALUE($CH$3)-1)-Tabell1345[[#This Row],[rang_samme]]</f>
        <v>0</v>
      </c>
      <c r="BD27">
        <f ca="1">IF(AND(Tabell1345[[#This Row],[rang]]&lt;=OFFSET(Tabell1345[[#This Row],[rang]],-1,0),Tabell1345[[#This Row],[ser_indeks]]&gt;1),IFERROR(VALUE(OFFSET(Tabell1345[[#This Row],[rang_synk]],-1,0)),0)+1,VALUE($CH$3)-1)-Tabell1345[[#This Row],[rang_samme]]</f>
        <v>1</v>
      </c>
      <c r="BE27">
        <f ca="1">MAXA(Tabell1345[[#This Row],[rang_stig]:[rang_synk]])</f>
        <v>1</v>
      </c>
      <c r="BF27">
        <f ca="1">($CH$2-1)+_xlfn.AGGREGATE(9,6,Tabell1345[[#This Row],[rang_samme]]:OFFSET(Tabell1345[[#This Row],[rang_samme]],($CH$2-1),0))</f>
        <v>5</v>
      </c>
      <c r="BG27" t="e">
        <f ca="1">IF($G$9="ja",IF(MAXA(Tabell1345[[#This Row],[rang_stigsynk]]:INDIRECT(ADDRESS(ROW(Tabell1345[[#This Row],[rang_stigsynk]])+Tabell1345[[#This Row],[trend_omr]],COLUMN(Tabell1345[[#This Row],[rang_stigsynk]]))))&gt;($CH$2-2),Tabell1345[[#This Row],[Verdi_korrigert_IT]],NA()),NA())</f>
        <v>#N/A</v>
      </c>
      <c r="BH27" s="5" t="e">
        <f ca="1">IF(Tabell1345[[#This Row],[ser_indeks]]&gt;3,_xlfn.AGGREGATE(4,4,OFFSET(Tabell1345[[#This Row],[Verdi1]],-3,Tabell1345[[#This Row],[serie_nr]]-1):OFFSET(Tabell1345[[#This Row],[Verdi1]],4,Tabell1345[[#This Row],[serie_nr]]-1)),NA())</f>
        <v>#N/A</v>
      </c>
      <c r="BI27" s="5" t="e">
        <f ca="1">IF(Tabell1345[[#This Row],[ser_indeks]]&gt;3,_xlfn.AGGREGATE(5,4,OFFSET(Tabell1345[[#This Row],[Verdi1]],-3,Tabell1345[[#This Row],[serie_nr]]-1):OFFSET(Tabell1345[[#This Row],[Verdi1]],4,Tabell1345[[#This Row],[serie_nr]]-1)),NA())</f>
        <v>#N/A</v>
      </c>
      <c r="BJ27" s="5" t="e">
        <f ca="1">IF(_xlfn.AGGREGATE(4,6,Tabell1345[[#This Row],[til_brudd_rader]]:OFFSET(Tabell1345[[#This Row],[til_brudd_rader]],3,0))&gt;0,NA(),IF(Tabell1345[[#This Row],[skifte_lav1]]&lt;Tabell1345[[#This Row],[Snitt]],Tabell1345[[#This Row],[Verdi_korrigert_IT]],NA()))</f>
        <v>#N/A</v>
      </c>
      <c r="BK27" s="5" t="e">
        <f ca="1">IF(_xlfn.AGGREGATE(4,6,Tabell1345[[#This Row],[til_brudd_rader]]:OFFSET(Tabell1345[[#This Row],[til_brudd_rader]],3,0))&gt;0,NA(),IF(Tabell1345[[#This Row],[skifte_høy1]]&gt;Tabell1345[[#This Row],[Snitt]],Tabell1345[[#This Row],[Verdi_korrigert_IT]],NA()))</f>
        <v>#N/A</v>
      </c>
      <c r="BL27" t="e">
        <f ca="1">IF($G$9="ja",IFERROR(IF(_xlfn.AGGREGATE(4,6,OFFSET(Tabell1345[[#This Row],[skifte_lav2]],-4,0):OFFSET(Tabell1345[[#This Row],[skifte_lav2]],3,1))&gt;0,Tabell1345[[#This Row],[Verdi_korrigert_IT]],NA()),NA()),NA())</f>
        <v>#N/A</v>
      </c>
      <c r="BM27" t="e">
        <f ca="1">IF($G$9="ja",IF(OR(Tabell1345[[#This Row],[Verdi_korrigert_IT]]&gt;Tabell1345[[#This Row],[UCL]],Tabell1345[[#This Row],[Verdi_korrigert_IT]]&lt;Tabell1345[[#This Row],[LCL]]),Tabell1345[[#This Row],[Verdi_korrigert_IT]],NA()),NA())</f>
        <v>#N/A</v>
      </c>
      <c r="BN27">
        <f>IF(Tabell1345[[#This Row],[Brudd]]="x","",Tabell1345[[#This Row],[Verdi]])</f>
        <v>54</v>
      </c>
      <c r="BO27">
        <f>IF(Tabell1345[[#This Row],[Brudd]]="x",NA(),Tabell1345[[#This Row],[Verdi]])</f>
        <v>54</v>
      </c>
      <c r="BP27">
        <f ca="1">IF(ISERROR(Tabell1345[[#This Row],[Verdi_korrigert_IT]]),OFFSET(Tabell1345[[#This Row],[ForrigeGyldige]],-1,0),Tabell1345[[#This Row],[Verdi]])</f>
        <v>54</v>
      </c>
      <c r="BQ27">
        <f>Tabell1345[[#This Row],[Verdi]]</f>
        <v>54</v>
      </c>
    </row>
    <row r="28" spans="1:69" x14ac:dyDescent="0.35">
      <c r="A28">
        <f ca="1">IF(ISNUMBER(OFFSET(Tabell1345[[#This Row],[Nr]],-1,0)),OFFSET(Tabell1345[[#This Row],[Nr]],-1,0))+1</f>
        <v>14</v>
      </c>
      <c r="C28" s="36">
        <v>42</v>
      </c>
      <c r="D28" t="s">
        <v>107</v>
      </c>
      <c r="E28" t="s">
        <v>108</v>
      </c>
      <c r="H28" t="e">
        <f t="shared" si="6"/>
        <v>#N/A</v>
      </c>
      <c r="I28">
        <f>IF(OR(Tabell1345[[#This Row],[Brudd]]="*",ROW()-ROW(Tabell1345[#All])+1=ROWS(Tabell1345[#All])),ROW())</f>
        <v>28</v>
      </c>
      <c r="J28" s="2">
        <f ca="1">VLOOKUP(Tabell1345[[#This Row],[Nr]],$BV$2:$CB$11,4,TRUE)</f>
        <v>42.7</v>
      </c>
      <c r="K28" s="2">
        <f ca="1">VLOOKUP(Tabell1345[[#This Row],[Nr]],$BV$2:$CB$11,7,TRUE)</f>
        <v>-0.98000000000000398</v>
      </c>
      <c r="L28" s="2">
        <f ca="1">VLOOKUP(Tabell1345[[#This Row],[Nr]],$BV$2:$CB$11,6,TRUE)</f>
        <v>86.38000000000001</v>
      </c>
      <c r="M28" t="str">
        <f ca="1">IF(OR(Tabell1345[[#This Row],[Brudd]]="*",ISERROR(Tabell1345[[#This Row],[Verdi_korrigert_IT]])),"",IF(ISNUMBER(OFFSET(Tabell1345[[#This Row],[ForrigeGyldige]],-1,0)),ABS(Tabell1345[[#This Row],[Verdi_korrigert_IT]]-OFFSET(Tabell1345[[#This Row],[ForrigeGyldige]],-1,0)),""))</f>
        <v/>
      </c>
      <c r="N28" t="e">
        <f ca="1">IF(VLOOKUP(Tabell1345[[#This Row],[Nr]],$BV$3:$CB$11,2,TRUE)=1,VLOOKUP(Tabell1345[[#This Row],[Nr]],$BV$3:$CB$11,4,TRUE),NA())</f>
        <v>#N/A</v>
      </c>
      <c r="O28">
        <f ca="1">IF(VLOOKUP(Tabell1345[[#This Row],[Nr]],$BV$3:$CB$11,2,TRUE)=2,VLOOKUP(Tabell1345[[#This Row],[Nr]],$BV$3:$CB$11,4,TRUE),NA())</f>
        <v>42.7</v>
      </c>
      <c r="P28" s="2" t="e">
        <f ca="1">IF(VLOOKUP(Tabell1345[[#This Row],[Nr]],$BV$3:$CB$11,2,TRUE)=3,VLOOKUP(Tabell1345[[#This Row],[Nr]],$BV$3:$CB$11,4,TRUE),NA())</f>
        <v>#N/A</v>
      </c>
      <c r="Q28" t="e">
        <f ca="1">IF(VLOOKUP(Tabell1345[[#This Row],[Nr]],$BV$3:$CB$11,2,TRUE)=4,VLOOKUP(Tabell1345[[#This Row],[Nr]],$BV$3:$CB$11,4,TRUE),NA())</f>
        <v>#N/A</v>
      </c>
      <c r="R28" t="e">
        <f ca="1">IF(VLOOKUP(Tabell1345[[#This Row],[Nr]],$BV$3:$CB$11,2,TRUE)=5,VLOOKUP(Tabell1345[[#This Row],[Nr]],$BV$3:$CB$11,4,TRUE),NA())</f>
        <v>#N/A</v>
      </c>
      <c r="S28" t="e">
        <f ca="1">IF(VLOOKUP(Tabell1345[[#This Row],[Nr]],$BV$3:$CB$11,2,TRUE)=6,VLOOKUP(Tabell1345[[#This Row],[Nr]],$BV$3:$CB$11,4,TRUE),NA())</f>
        <v>#N/A</v>
      </c>
      <c r="T28" t="e">
        <f ca="1">IF(VLOOKUP(Tabell1345[[#This Row],[Nr]],$BV$3:$CB$11,2,TRUE)=7,VLOOKUP(Tabell1345[[#This Row],[Nr]],$BV$3:$CB$11,4,TRUE),NA())</f>
        <v>#N/A</v>
      </c>
      <c r="U28" t="e">
        <f ca="1">IF(VLOOKUP(Tabell1345[[#This Row],[Nr]],$BV$3:$CB$11,2,TRUE)=1,VLOOKUP(Tabell1345[[#This Row],[Nr]],$BV$3:$CB$11,6,TRUE),NA())</f>
        <v>#N/A</v>
      </c>
      <c r="V28">
        <f ca="1">IF(VLOOKUP(Tabell1345[[#This Row],[Nr]],$BV$3:$CB$11,2,TRUE)=2,VLOOKUP(Tabell1345[[#This Row],[Nr]],$BV$3:$CB$11,6,TRUE),NA())</f>
        <v>86.38000000000001</v>
      </c>
      <c r="W28" t="e">
        <f ca="1">IF(VLOOKUP(Tabell1345[[#This Row],[Nr]],$BV$3:$CB$11,2,TRUE)=3,VLOOKUP(Tabell1345[[#This Row],[Nr]],$BV$3:$CB$11,6,TRUE),NA())</f>
        <v>#N/A</v>
      </c>
      <c r="X28" t="e">
        <f ca="1">IF(VLOOKUP(Tabell1345[[#This Row],[Nr]],$BV$3:$CB$11,2,TRUE)=4,VLOOKUP(Tabell1345[[#This Row],[Nr]],$BV$3:$CB$11,6,TRUE),NA())</f>
        <v>#N/A</v>
      </c>
      <c r="Y28" t="e">
        <f ca="1">IF(VLOOKUP(Tabell1345[[#This Row],[Nr]],$BV$3:$CB$11,2,TRUE)=5,VLOOKUP(Tabell1345[[#This Row],[Nr]],$BV$3:$CB$11,6,TRUE),NA())</f>
        <v>#N/A</v>
      </c>
      <c r="Z28" t="e">
        <f ca="1">IF(VLOOKUP(Tabell1345[[#This Row],[Nr]],$BV$3:$CB$11,2,TRUE)=6,VLOOKUP(Tabell1345[[#This Row],[Nr]],$BV$3:$CB$11,6,TRUE),NA())</f>
        <v>#N/A</v>
      </c>
      <c r="AA28" t="e">
        <f ca="1">IF(VLOOKUP(Tabell1345[[#This Row],[Nr]],$BV$3:$CB$11,2,TRUE)=7,VLOOKUP(Tabell1345[[#This Row],[Nr]],$BV$3:$CB$11,6,TRUE),NA())</f>
        <v>#N/A</v>
      </c>
      <c r="AB28" t="e">
        <f ca="1">IF(VLOOKUP(Tabell1345[[#This Row],[Nr]],$BV$3:$CB$11,2,TRUE)=1,VLOOKUP(Tabell1345[[#This Row],[Nr]],$BV$3:$CB$11,7,TRUE),NA())</f>
        <v>#N/A</v>
      </c>
      <c r="AC28">
        <f ca="1">IF(VLOOKUP(Tabell1345[[#This Row],[Nr]],$BV$3:$CB$11,2,TRUE)=2,VLOOKUP(Tabell1345[[#This Row],[Nr]],$BV$3:$CB$11,7,TRUE),NA())</f>
        <v>-0.98000000000000398</v>
      </c>
      <c r="AD28" t="e">
        <f ca="1">IF(VLOOKUP(Tabell1345[[#This Row],[Nr]],$BV$3:$CB$11,2,TRUE)=3,VLOOKUP(Tabell1345[[#This Row],[Nr]],$BV$3:$CB$11,7,TRUE),NA())</f>
        <v>#N/A</v>
      </c>
      <c r="AE28" t="e">
        <f ca="1">IF(VLOOKUP(Tabell1345[[#This Row],[Nr]],$BV$3:$CB$11,2,TRUE)=4,VLOOKUP(Tabell1345[[#This Row],[Nr]],$BV$3:$CB$11,7,TRUE),NA())</f>
        <v>#N/A</v>
      </c>
      <c r="AF28" t="e">
        <f ca="1">IF(VLOOKUP(Tabell1345[[#This Row],[Nr]],$BV$3:$CB$11,2,TRUE)=5,VLOOKUP(Tabell1345[[#This Row],[Nr]],$BV$3:$CB$11,7,TRUE),NA())</f>
        <v>#N/A</v>
      </c>
      <c r="AG28" t="e">
        <f ca="1">IF(VLOOKUP(Tabell1345[[#This Row],[Nr]],$BV$3:$CB$11,2,TRUE)=6,VLOOKUP(Tabell1345[[#This Row],[Nr]],$BV$3:$CB$11,7,TRUE),NA())</f>
        <v>#N/A</v>
      </c>
      <c r="AH28" t="e">
        <f ca="1">IF(VLOOKUP(Tabell1345[[#This Row],[Nr]],$BV$3:$CB$11,2,TRUE)=7,VLOOKUP(Tabell1345[[#This Row],[Nr]],$BV$3:$CB$11,7,TRUE),NA())</f>
        <v>#N/A</v>
      </c>
      <c r="AI28" t="e">
        <f ca="1">IF(VLOOKUP(Tabell1345[[#This Row],[Nr]],$BV$3:$CB$11,2,TRUE)=1,VLOOKUP(Tabell1345[[#This Row],[Nr]],$BV$3:$CB$11,5,TRUE),NA())</f>
        <v>#N/A</v>
      </c>
      <c r="AJ28">
        <f ca="1">IF(VLOOKUP(Tabell1345[[#This Row],[Nr]],$BV$3:$CB$11,2,TRUE)=2,VLOOKUP(Tabell1345[[#This Row],[Nr]],$BV$3:$CB$11,5,TRUE),NA())</f>
        <v>40.5</v>
      </c>
      <c r="AK28" t="e">
        <f ca="1">IF(VLOOKUP(Tabell1345[[#This Row],[Nr]],$BV$3:$CB$11,2,TRUE)=3,VLOOKUP(Tabell1345[[#This Row],[Nr]],$BV$3:$CB$11,5,TRUE),NA())</f>
        <v>#N/A</v>
      </c>
      <c r="AL28" t="e">
        <f ca="1">IF(VLOOKUP(Tabell1345[[#This Row],[Nr]],$BV$3:$CB$11,2,TRUE)=4,VLOOKUP(Tabell1345[[#This Row],[Nr]],$BV$3:$CB$11,5,TRUE),NA())</f>
        <v>#N/A</v>
      </c>
      <c r="AM28" t="e">
        <f ca="1">IF(VLOOKUP(Tabell1345[[#This Row],[Nr]],$BV$3:$CB$11,2,TRUE)=5,VLOOKUP(Tabell1345[[#This Row],[Nr]],$BV$3:$CB$11,5,TRUE),NA())</f>
        <v>#N/A</v>
      </c>
      <c r="AN28" t="e">
        <f ca="1">IF(VLOOKUP(Tabell1345[[#This Row],[Nr]],$BV$3:$CB$11,2,TRUE)=6,VLOOKUP(Tabell1345[[#This Row],[Nr]],$BV$3:$CB$11,5,TRUE),NA())</f>
        <v>#N/A</v>
      </c>
      <c r="AO28" t="e">
        <f ca="1">IF(VLOOKUP(Tabell1345[[#This Row],[Nr]],$BV$3:$CB$11,2,TRUE)=7,VLOOKUP(Tabell1345[[#This Row],[Nr]],$BV$3:$CB$11,5,TRUE),NA())</f>
        <v>#N/A</v>
      </c>
      <c r="AP28" t="e">
        <f ca="1">IF(VLOOKUP(Tabell1345[[#This Row],[Nr]],$BV$3:$CB$11,2,TRUE)=1,Tabell1345[[#This Row],[Verdi_korrigert_IT]],NA())</f>
        <v>#N/A</v>
      </c>
      <c r="AQ28">
        <f ca="1">IF(VLOOKUP(Tabell1345[[#This Row],[Nr]],$BV$3:$CB$11,2,TRUE)=2,Tabell1345[[#This Row],[Verdi_korrigert_IT]],NA())</f>
        <v>42</v>
      </c>
      <c r="AR28" t="e">
        <f ca="1">IF(VLOOKUP(Tabell1345[[#This Row],[Nr]],$BV$3:$CB$11,2,TRUE)=3,Tabell1345[[#This Row],[Verdi_korrigert_IT]],NA())</f>
        <v>#N/A</v>
      </c>
      <c r="AS28" t="e">
        <f ca="1">IF(VLOOKUP(Tabell1345[[#This Row],[Nr]],$BV$3:$CB$11,2,TRUE)=4,Tabell1345[[#This Row],[Verdi_korrigert_IT]],NA())</f>
        <v>#N/A</v>
      </c>
      <c r="AT28" t="e">
        <f ca="1">IF(VLOOKUP(Tabell1345[[#This Row],[Nr]],$BV$3:$CB$11,2,TRUE)=5,Tabell1345[[#This Row],[Verdi_korrigert_IT]],NA())</f>
        <v>#N/A</v>
      </c>
      <c r="AU28" t="e">
        <f ca="1">IF(VLOOKUP(Tabell1345[[#This Row],[Nr]],$BV$3:$CB$11,2,TRUE)=6,Tabell1345[[#This Row],[Verdi_korrigert_IT]],NA())</f>
        <v>#N/A</v>
      </c>
      <c r="AV28" t="e">
        <f ca="1">IF(VLOOKUP(Tabell1345[[#This Row],[Nr]],$BV$3:$CB$11,2,TRUE)=7,Tabell1345[[#This Row],[Verdi_korrigert_IT]],NA())</f>
        <v>#N/A</v>
      </c>
      <c r="AW28">
        <f ca="1">IF(Tabell1345[[#This Row],[Brudd]]&lt;&gt;"*",IF(ISNUMBER(OFFSET(Tabell1345[[#This Row],[ser_indeks]],-1,0)),OFFSET(Tabell1345[[#This Row],[ser_indeks]],-1,0),0),0)+1</f>
        <v>1</v>
      </c>
      <c r="AX28">
        <f ca="1">VLOOKUP(Tabell1345[[#This Row],[Nr]],$BV$2:$BW$9,2,TRUE)</f>
        <v>2</v>
      </c>
      <c r="AY28">
        <f ca="1">IF(OFFSET(Tabell1345[[#This Row],[ser_indeks]],1,0)&lt;Tabell1345[[#This Row],[ser_indeks]],1,0)</f>
        <v>0</v>
      </c>
      <c r="AZ28">
        <f ca="1">IFERROR(VALUE(Tabell1345[[#This Row],[Verdi_korrigert_IT]]),OFFSET(Tabell1345[[#This Row],[verdi_korrigert]],-1,0))</f>
        <v>42</v>
      </c>
      <c r="BA28">
        <f ca="1">_xlfn.RANK.AVG(Tabell1345[[#This Row],[verdi_korrigert]],Tabell1345[verdi_korrigert],1)</f>
        <v>11.5</v>
      </c>
      <c r="BB28">
        <f ca="1">IF(Tabell1345[[#This Row],[rang]]=OFFSET(Tabell1345[[#This Row],[rang]],1,0),1,0)</f>
        <v>0</v>
      </c>
      <c r="BC28">
        <f ca="1">IF(AND(Tabell1345[[#This Row],[rang]]&gt;=OFFSET(Tabell1345[[#This Row],[rang]],-1,0),Tabell1345[[#This Row],[ser_indeks]]&gt;1),IFERROR(VALUE(OFFSET(Tabell1345[[#This Row],[rang_stig]],-1,0)),0)+1,VALUE($CH$3)-1)-Tabell1345[[#This Row],[rang_samme]]</f>
        <v>0</v>
      </c>
      <c r="BD28">
        <f ca="1">IF(AND(Tabell1345[[#This Row],[rang]]&lt;=OFFSET(Tabell1345[[#This Row],[rang]],-1,0),Tabell1345[[#This Row],[ser_indeks]]&gt;1),IFERROR(VALUE(OFFSET(Tabell1345[[#This Row],[rang_synk]],-1,0)),0)+1,VALUE($CH$3)-1)-Tabell1345[[#This Row],[rang_samme]]</f>
        <v>0</v>
      </c>
      <c r="BE28">
        <f ca="1">MAXA(Tabell1345[[#This Row],[rang_stig]:[rang_synk]])</f>
        <v>0</v>
      </c>
      <c r="BF28">
        <f ca="1">($CH$2-1)+_xlfn.AGGREGATE(9,6,Tabell1345[[#This Row],[rang_samme]]:OFFSET(Tabell1345[[#This Row],[rang_samme]],($CH$2-1),0))</f>
        <v>5</v>
      </c>
      <c r="BG28" t="e">
        <f ca="1">IF($G$9="ja",IF(MAXA(Tabell1345[[#This Row],[rang_stigsynk]]:INDIRECT(ADDRESS(ROW(Tabell1345[[#This Row],[rang_stigsynk]])+Tabell1345[[#This Row],[trend_omr]],COLUMN(Tabell1345[[#This Row],[rang_stigsynk]]))))&gt;($CH$2-2),Tabell1345[[#This Row],[Verdi_korrigert_IT]],NA()),NA())</f>
        <v>#N/A</v>
      </c>
      <c r="BH28" s="5" t="e">
        <f ca="1">IF(Tabell1345[[#This Row],[ser_indeks]]&gt;3,_xlfn.AGGREGATE(4,4,OFFSET(Tabell1345[[#This Row],[Verdi1]],-3,Tabell1345[[#This Row],[serie_nr]]-1):OFFSET(Tabell1345[[#This Row],[Verdi1]],4,Tabell1345[[#This Row],[serie_nr]]-1)),NA())</f>
        <v>#N/A</v>
      </c>
      <c r="BI28" s="5" t="e">
        <f ca="1">IF(Tabell1345[[#This Row],[ser_indeks]]&gt;3,_xlfn.AGGREGATE(5,4,OFFSET(Tabell1345[[#This Row],[Verdi1]],-3,Tabell1345[[#This Row],[serie_nr]]-1):OFFSET(Tabell1345[[#This Row],[Verdi1]],4,Tabell1345[[#This Row],[serie_nr]]-1)),NA())</f>
        <v>#N/A</v>
      </c>
      <c r="BJ28" s="5" t="e">
        <f ca="1">IF(_xlfn.AGGREGATE(4,6,Tabell1345[[#This Row],[til_brudd_rader]]:OFFSET(Tabell1345[[#This Row],[til_brudd_rader]],3,0))&gt;0,NA(),IF(Tabell1345[[#This Row],[skifte_lav1]]&lt;Tabell1345[[#This Row],[Snitt]],Tabell1345[[#This Row],[Verdi_korrigert_IT]],NA()))</f>
        <v>#N/A</v>
      </c>
      <c r="BK28" s="5" t="e">
        <f ca="1">IF(_xlfn.AGGREGATE(4,6,Tabell1345[[#This Row],[til_brudd_rader]]:OFFSET(Tabell1345[[#This Row],[til_brudd_rader]],3,0))&gt;0,NA(),IF(Tabell1345[[#This Row],[skifte_høy1]]&gt;Tabell1345[[#This Row],[Snitt]],Tabell1345[[#This Row],[Verdi_korrigert_IT]],NA()))</f>
        <v>#N/A</v>
      </c>
      <c r="BL28" t="e">
        <f ca="1">IF($G$9="ja",IFERROR(IF(_xlfn.AGGREGATE(4,6,OFFSET(Tabell1345[[#This Row],[skifte_lav2]],-4,0):OFFSET(Tabell1345[[#This Row],[skifte_lav2]],3,1))&gt;0,Tabell1345[[#This Row],[Verdi_korrigert_IT]],NA()),NA()),NA())</f>
        <v>#N/A</v>
      </c>
      <c r="BM28" t="e">
        <f ca="1">IF($G$9="ja",IF(OR(Tabell1345[[#This Row],[Verdi_korrigert_IT]]&gt;Tabell1345[[#This Row],[UCL]],Tabell1345[[#This Row],[Verdi_korrigert_IT]]&lt;Tabell1345[[#This Row],[LCL]]),Tabell1345[[#This Row],[Verdi_korrigert_IT]],NA()),NA())</f>
        <v>#N/A</v>
      </c>
      <c r="BN28">
        <f>IF(Tabell1345[[#This Row],[Brudd]]="x","",Tabell1345[[#This Row],[Verdi]])</f>
        <v>42</v>
      </c>
      <c r="BO28">
        <f>IF(Tabell1345[[#This Row],[Brudd]]="x",NA(),Tabell1345[[#This Row],[Verdi]])</f>
        <v>42</v>
      </c>
      <c r="BP28">
        <f ca="1">IF(ISERROR(Tabell1345[[#This Row],[Verdi_korrigert_IT]]),OFFSET(Tabell1345[[#This Row],[ForrigeGyldige]],-1,0),Tabell1345[[#This Row],[Verdi]])</f>
        <v>42</v>
      </c>
      <c r="BQ28">
        <f>Tabell1345[[#This Row],[Verdi]]</f>
        <v>42</v>
      </c>
    </row>
    <row r="29" spans="1:69" x14ac:dyDescent="0.35">
      <c r="A29">
        <f ca="1">IF(ISNUMBER(OFFSET(Tabell1345[[#This Row],[Nr]],-1,0)),OFFSET(Tabell1345[[#This Row],[Nr]],-1,0))+1</f>
        <v>15</v>
      </c>
      <c r="C29" s="36">
        <v>38</v>
      </c>
      <c r="H29" t="e">
        <f t="shared" si="6"/>
        <v>#N/A</v>
      </c>
      <c r="I29" t="b">
        <f>IF(OR(Tabell1345[[#This Row],[Brudd]]="*",ROW()-ROW(Tabell1345[#All])+1=ROWS(Tabell1345[#All])),ROW())</f>
        <v>0</v>
      </c>
      <c r="J29" s="2">
        <f ca="1">VLOOKUP(Tabell1345[[#This Row],[Nr]],$BV$2:$CB$11,4,TRUE)</f>
        <v>42.7</v>
      </c>
      <c r="K29" s="2">
        <f ca="1">VLOOKUP(Tabell1345[[#This Row],[Nr]],$BV$2:$CB$11,7,TRUE)</f>
        <v>-0.98000000000000398</v>
      </c>
      <c r="L29" s="2">
        <f ca="1">VLOOKUP(Tabell1345[[#This Row],[Nr]],$BV$2:$CB$11,6,TRUE)</f>
        <v>86.38000000000001</v>
      </c>
      <c r="M29">
        <f ca="1">IF(OR(Tabell1345[[#This Row],[Brudd]]="*",ISERROR(Tabell1345[[#This Row],[Verdi_korrigert_IT]])),"",IF(ISNUMBER(OFFSET(Tabell1345[[#This Row],[ForrigeGyldige]],-1,0)),ABS(Tabell1345[[#This Row],[Verdi_korrigert_IT]]-OFFSET(Tabell1345[[#This Row],[ForrigeGyldige]],-1,0)),""))</f>
        <v>4</v>
      </c>
      <c r="N29" t="e">
        <f ca="1">IF(VLOOKUP(Tabell1345[[#This Row],[Nr]],$BV$3:$CB$11,2,TRUE)=1,VLOOKUP(Tabell1345[[#This Row],[Nr]],$BV$3:$CB$11,4,TRUE),NA())</f>
        <v>#N/A</v>
      </c>
      <c r="O29">
        <f ca="1">IF(VLOOKUP(Tabell1345[[#This Row],[Nr]],$BV$3:$CB$11,2,TRUE)=2,VLOOKUP(Tabell1345[[#This Row],[Nr]],$BV$3:$CB$11,4,TRUE),NA())</f>
        <v>42.7</v>
      </c>
      <c r="P29" s="2" t="e">
        <f ca="1">IF(VLOOKUP(Tabell1345[[#This Row],[Nr]],$BV$3:$CB$11,2,TRUE)=3,VLOOKUP(Tabell1345[[#This Row],[Nr]],$BV$3:$CB$11,4,TRUE),NA())</f>
        <v>#N/A</v>
      </c>
      <c r="Q29" t="e">
        <f ca="1">IF(VLOOKUP(Tabell1345[[#This Row],[Nr]],$BV$3:$CB$11,2,TRUE)=4,VLOOKUP(Tabell1345[[#This Row],[Nr]],$BV$3:$CB$11,4,TRUE),NA())</f>
        <v>#N/A</v>
      </c>
      <c r="R29" t="e">
        <f ca="1">IF(VLOOKUP(Tabell1345[[#This Row],[Nr]],$BV$3:$CB$11,2,TRUE)=5,VLOOKUP(Tabell1345[[#This Row],[Nr]],$BV$3:$CB$11,4,TRUE),NA())</f>
        <v>#N/A</v>
      </c>
      <c r="S29" t="e">
        <f ca="1">IF(VLOOKUP(Tabell1345[[#This Row],[Nr]],$BV$3:$CB$11,2,TRUE)=6,VLOOKUP(Tabell1345[[#This Row],[Nr]],$BV$3:$CB$11,4,TRUE),NA())</f>
        <v>#N/A</v>
      </c>
      <c r="T29" t="e">
        <f ca="1">IF(VLOOKUP(Tabell1345[[#This Row],[Nr]],$BV$3:$CB$11,2,TRUE)=7,VLOOKUP(Tabell1345[[#This Row],[Nr]],$BV$3:$CB$11,4,TRUE),NA())</f>
        <v>#N/A</v>
      </c>
      <c r="U29" t="e">
        <f ca="1">IF(VLOOKUP(Tabell1345[[#This Row],[Nr]],$BV$3:$CB$11,2,TRUE)=1,VLOOKUP(Tabell1345[[#This Row],[Nr]],$BV$3:$CB$11,6,TRUE),NA())</f>
        <v>#N/A</v>
      </c>
      <c r="V29">
        <f ca="1">IF(VLOOKUP(Tabell1345[[#This Row],[Nr]],$BV$3:$CB$11,2,TRUE)=2,VLOOKUP(Tabell1345[[#This Row],[Nr]],$BV$3:$CB$11,6,TRUE),NA())</f>
        <v>86.38000000000001</v>
      </c>
      <c r="W29" t="e">
        <f ca="1">IF(VLOOKUP(Tabell1345[[#This Row],[Nr]],$BV$3:$CB$11,2,TRUE)=3,VLOOKUP(Tabell1345[[#This Row],[Nr]],$BV$3:$CB$11,6,TRUE),NA())</f>
        <v>#N/A</v>
      </c>
      <c r="X29" t="e">
        <f ca="1">IF(VLOOKUP(Tabell1345[[#This Row],[Nr]],$BV$3:$CB$11,2,TRUE)=4,VLOOKUP(Tabell1345[[#This Row],[Nr]],$BV$3:$CB$11,6,TRUE),NA())</f>
        <v>#N/A</v>
      </c>
      <c r="Y29" t="e">
        <f ca="1">IF(VLOOKUP(Tabell1345[[#This Row],[Nr]],$BV$3:$CB$11,2,TRUE)=5,VLOOKUP(Tabell1345[[#This Row],[Nr]],$BV$3:$CB$11,6,TRUE),NA())</f>
        <v>#N/A</v>
      </c>
      <c r="Z29" t="e">
        <f ca="1">IF(VLOOKUP(Tabell1345[[#This Row],[Nr]],$BV$3:$CB$11,2,TRUE)=6,VLOOKUP(Tabell1345[[#This Row],[Nr]],$BV$3:$CB$11,6,TRUE),NA())</f>
        <v>#N/A</v>
      </c>
      <c r="AA29" t="e">
        <f ca="1">IF(VLOOKUP(Tabell1345[[#This Row],[Nr]],$BV$3:$CB$11,2,TRUE)=7,VLOOKUP(Tabell1345[[#This Row],[Nr]],$BV$3:$CB$11,6,TRUE),NA())</f>
        <v>#N/A</v>
      </c>
      <c r="AB29" t="e">
        <f ca="1">IF(VLOOKUP(Tabell1345[[#This Row],[Nr]],$BV$3:$CB$11,2,TRUE)=1,VLOOKUP(Tabell1345[[#This Row],[Nr]],$BV$3:$CB$11,7,TRUE),NA())</f>
        <v>#N/A</v>
      </c>
      <c r="AC29">
        <f ca="1">IF(VLOOKUP(Tabell1345[[#This Row],[Nr]],$BV$3:$CB$11,2,TRUE)=2,VLOOKUP(Tabell1345[[#This Row],[Nr]],$BV$3:$CB$11,7,TRUE),NA())</f>
        <v>-0.98000000000000398</v>
      </c>
      <c r="AD29" t="e">
        <f ca="1">IF(VLOOKUP(Tabell1345[[#This Row],[Nr]],$BV$3:$CB$11,2,TRUE)=3,VLOOKUP(Tabell1345[[#This Row],[Nr]],$BV$3:$CB$11,7,TRUE),NA())</f>
        <v>#N/A</v>
      </c>
      <c r="AE29" t="e">
        <f ca="1">IF(VLOOKUP(Tabell1345[[#This Row],[Nr]],$BV$3:$CB$11,2,TRUE)=4,VLOOKUP(Tabell1345[[#This Row],[Nr]],$BV$3:$CB$11,7,TRUE),NA())</f>
        <v>#N/A</v>
      </c>
      <c r="AF29" t="e">
        <f ca="1">IF(VLOOKUP(Tabell1345[[#This Row],[Nr]],$BV$3:$CB$11,2,TRUE)=5,VLOOKUP(Tabell1345[[#This Row],[Nr]],$BV$3:$CB$11,7,TRUE),NA())</f>
        <v>#N/A</v>
      </c>
      <c r="AG29" t="e">
        <f ca="1">IF(VLOOKUP(Tabell1345[[#This Row],[Nr]],$BV$3:$CB$11,2,TRUE)=6,VLOOKUP(Tabell1345[[#This Row],[Nr]],$BV$3:$CB$11,7,TRUE),NA())</f>
        <v>#N/A</v>
      </c>
      <c r="AH29" t="e">
        <f ca="1">IF(VLOOKUP(Tabell1345[[#This Row],[Nr]],$BV$3:$CB$11,2,TRUE)=7,VLOOKUP(Tabell1345[[#This Row],[Nr]],$BV$3:$CB$11,7,TRUE),NA())</f>
        <v>#N/A</v>
      </c>
      <c r="AI29" t="e">
        <f ca="1">IF(VLOOKUP(Tabell1345[[#This Row],[Nr]],$BV$3:$CB$11,2,TRUE)=1,VLOOKUP(Tabell1345[[#This Row],[Nr]],$BV$3:$CB$11,5,TRUE),NA())</f>
        <v>#N/A</v>
      </c>
      <c r="AJ29">
        <f ca="1">IF(VLOOKUP(Tabell1345[[#This Row],[Nr]],$BV$3:$CB$11,2,TRUE)=2,VLOOKUP(Tabell1345[[#This Row],[Nr]],$BV$3:$CB$11,5,TRUE),NA())</f>
        <v>40.5</v>
      </c>
      <c r="AK29" t="e">
        <f ca="1">IF(VLOOKUP(Tabell1345[[#This Row],[Nr]],$BV$3:$CB$11,2,TRUE)=3,VLOOKUP(Tabell1345[[#This Row],[Nr]],$BV$3:$CB$11,5,TRUE),NA())</f>
        <v>#N/A</v>
      </c>
      <c r="AL29" t="e">
        <f ca="1">IF(VLOOKUP(Tabell1345[[#This Row],[Nr]],$BV$3:$CB$11,2,TRUE)=4,VLOOKUP(Tabell1345[[#This Row],[Nr]],$BV$3:$CB$11,5,TRUE),NA())</f>
        <v>#N/A</v>
      </c>
      <c r="AM29" t="e">
        <f ca="1">IF(VLOOKUP(Tabell1345[[#This Row],[Nr]],$BV$3:$CB$11,2,TRUE)=5,VLOOKUP(Tabell1345[[#This Row],[Nr]],$BV$3:$CB$11,5,TRUE),NA())</f>
        <v>#N/A</v>
      </c>
      <c r="AN29" t="e">
        <f ca="1">IF(VLOOKUP(Tabell1345[[#This Row],[Nr]],$BV$3:$CB$11,2,TRUE)=6,VLOOKUP(Tabell1345[[#This Row],[Nr]],$BV$3:$CB$11,5,TRUE),NA())</f>
        <v>#N/A</v>
      </c>
      <c r="AO29" t="e">
        <f ca="1">IF(VLOOKUP(Tabell1345[[#This Row],[Nr]],$BV$3:$CB$11,2,TRUE)=7,VLOOKUP(Tabell1345[[#This Row],[Nr]],$BV$3:$CB$11,5,TRUE),NA())</f>
        <v>#N/A</v>
      </c>
      <c r="AP29" t="e">
        <f ca="1">IF(VLOOKUP(Tabell1345[[#This Row],[Nr]],$BV$3:$CB$11,2,TRUE)=1,Tabell1345[[#This Row],[Verdi_korrigert_IT]],NA())</f>
        <v>#N/A</v>
      </c>
      <c r="AQ29">
        <f ca="1">IF(VLOOKUP(Tabell1345[[#This Row],[Nr]],$BV$3:$CB$11,2,TRUE)=2,Tabell1345[[#This Row],[Verdi_korrigert_IT]],NA())</f>
        <v>38</v>
      </c>
      <c r="AR29" t="e">
        <f ca="1">IF(VLOOKUP(Tabell1345[[#This Row],[Nr]],$BV$3:$CB$11,2,TRUE)=3,Tabell1345[[#This Row],[Verdi_korrigert_IT]],NA())</f>
        <v>#N/A</v>
      </c>
      <c r="AS29" t="e">
        <f ca="1">IF(VLOOKUP(Tabell1345[[#This Row],[Nr]],$BV$3:$CB$11,2,TRUE)=4,Tabell1345[[#This Row],[Verdi_korrigert_IT]],NA())</f>
        <v>#N/A</v>
      </c>
      <c r="AT29" t="e">
        <f ca="1">IF(VLOOKUP(Tabell1345[[#This Row],[Nr]],$BV$3:$CB$11,2,TRUE)=5,Tabell1345[[#This Row],[Verdi_korrigert_IT]],NA())</f>
        <v>#N/A</v>
      </c>
      <c r="AU29" t="e">
        <f ca="1">IF(VLOOKUP(Tabell1345[[#This Row],[Nr]],$BV$3:$CB$11,2,TRUE)=6,Tabell1345[[#This Row],[Verdi_korrigert_IT]],NA())</f>
        <v>#N/A</v>
      </c>
      <c r="AV29" t="e">
        <f ca="1">IF(VLOOKUP(Tabell1345[[#This Row],[Nr]],$BV$3:$CB$11,2,TRUE)=7,Tabell1345[[#This Row],[Verdi_korrigert_IT]],NA())</f>
        <v>#N/A</v>
      </c>
      <c r="AW29">
        <f ca="1">IF(Tabell1345[[#This Row],[Brudd]]&lt;&gt;"*",IF(ISNUMBER(OFFSET(Tabell1345[[#This Row],[ser_indeks]],-1,0)),OFFSET(Tabell1345[[#This Row],[ser_indeks]],-1,0),0),0)+1</f>
        <v>2</v>
      </c>
      <c r="AX29">
        <f ca="1">VLOOKUP(Tabell1345[[#This Row],[Nr]],$BV$2:$BW$9,2,TRUE)</f>
        <v>2</v>
      </c>
      <c r="AY29">
        <f ca="1">IF(OFFSET(Tabell1345[[#This Row],[ser_indeks]],1,0)&lt;Tabell1345[[#This Row],[ser_indeks]],1,0)</f>
        <v>0</v>
      </c>
      <c r="AZ29">
        <f ca="1">IFERROR(VALUE(Tabell1345[[#This Row],[Verdi_korrigert_IT]]),OFFSET(Tabell1345[[#This Row],[verdi_korrigert]],-1,0))</f>
        <v>38</v>
      </c>
      <c r="BA29">
        <f ca="1">_xlfn.RANK.AVG(Tabell1345[[#This Row],[verdi_korrigert]],Tabell1345[verdi_korrigert],1)</f>
        <v>7.5</v>
      </c>
      <c r="BB29">
        <f ca="1">IF(Tabell1345[[#This Row],[rang]]=OFFSET(Tabell1345[[#This Row],[rang]],1,0),1,0)</f>
        <v>0</v>
      </c>
      <c r="BC29">
        <f ca="1">IF(AND(Tabell1345[[#This Row],[rang]]&gt;=OFFSET(Tabell1345[[#This Row],[rang]],-1,0),Tabell1345[[#This Row],[ser_indeks]]&gt;1),IFERROR(VALUE(OFFSET(Tabell1345[[#This Row],[rang_stig]],-1,0)),0)+1,VALUE($CH$3)-1)-Tabell1345[[#This Row],[rang_samme]]</f>
        <v>0</v>
      </c>
      <c r="BD29">
        <f ca="1">IF(AND(Tabell1345[[#This Row],[rang]]&lt;=OFFSET(Tabell1345[[#This Row],[rang]],-1,0),Tabell1345[[#This Row],[ser_indeks]]&gt;1),IFERROR(VALUE(OFFSET(Tabell1345[[#This Row],[rang_synk]],-1,0)),0)+1,VALUE($CH$3)-1)-Tabell1345[[#This Row],[rang_samme]]</f>
        <v>1</v>
      </c>
      <c r="BE29">
        <f ca="1">MAXA(Tabell1345[[#This Row],[rang_stig]:[rang_synk]])</f>
        <v>1</v>
      </c>
      <c r="BF29">
        <f ca="1">($CH$2-1)+_xlfn.AGGREGATE(9,6,Tabell1345[[#This Row],[rang_samme]]:OFFSET(Tabell1345[[#This Row],[rang_samme]],($CH$2-1),0))</f>
        <v>5</v>
      </c>
      <c r="BG29" t="e">
        <f ca="1">IF($G$9="ja",IF(MAXA(Tabell1345[[#This Row],[rang_stigsynk]]:INDIRECT(ADDRESS(ROW(Tabell1345[[#This Row],[rang_stigsynk]])+Tabell1345[[#This Row],[trend_omr]],COLUMN(Tabell1345[[#This Row],[rang_stigsynk]]))))&gt;($CH$2-2),Tabell1345[[#This Row],[Verdi_korrigert_IT]],NA()),NA())</f>
        <v>#N/A</v>
      </c>
      <c r="BH29" s="5" t="e">
        <f ca="1">IF(Tabell1345[[#This Row],[ser_indeks]]&gt;3,_xlfn.AGGREGATE(4,4,OFFSET(Tabell1345[[#This Row],[Verdi1]],-3,Tabell1345[[#This Row],[serie_nr]]-1):OFFSET(Tabell1345[[#This Row],[Verdi1]],4,Tabell1345[[#This Row],[serie_nr]]-1)),NA())</f>
        <v>#N/A</v>
      </c>
      <c r="BI29" s="5" t="e">
        <f ca="1">IF(Tabell1345[[#This Row],[ser_indeks]]&gt;3,_xlfn.AGGREGATE(5,4,OFFSET(Tabell1345[[#This Row],[Verdi1]],-3,Tabell1345[[#This Row],[serie_nr]]-1):OFFSET(Tabell1345[[#This Row],[Verdi1]],4,Tabell1345[[#This Row],[serie_nr]]-1)),NA())</f>
        <v>#N/A</v>
      </c>
      <c r="BJ29" s="5" t="e">
        <f ca="1">IF(_xlfn.AGGREGATE(4,6,Tabell1345[[#This Row],[til_brudd_rader]]:OFFSET(Tabell1345[[#This Row],[til_brudd_rader]],3,0))&gt;0,NA(),IF(Tabell1345[[#This Row],[skifte_lav1]]&lt;Tabell1345[[#This Row],[Snitt]],Tabell1345[[#This Row],[Verdi_korrigert_IT]],NA()))</f>
        <v>#N/A</v>
      </c>
      <c r="BK29" s="5" t="e">
        <f ca="1">IF(_xlfn.AGGREGATE(4,6,Tabell1345[[#This Row],[til_brudd_rader]]:OFFSET(Tabell1345[[#This Row],[til_brudd_rader]],3,0))&gt;0,NA(),IF(Tabell1345[[#This Row],[skifte_høy1]]&gt;Tabell1345[[#This Row],[Snitt]],Tabell1345[[#This Row],[Verdi_korrigert_IT]],NA()))</f>
        <v>#N/A</v>
      </c>
      <c r="BL29" t="e">
        <f ca="1">IF($G$9="ja",IFERROR(IF(_xlfn.AGGREGATE(4,6,OFFSET(Tabell1345[[#This Row],[skifte_lav2]],-4,0):OFFSET(Tabell1345[[#This Row],[skifte_lav2]],3,1))&gt;0,Tabell1345[[#This Row],[Verdi_korrigert_IT]],NA()),NA()),NA())</f>
        <v>#N/A</v>
      </c>
      <c r="BM29" t="e">
        <f ca="1">IF($G$9="ja",IF(OR(Tabell1345[[#This Row],[Verdi_korrigert_IT]]&gt;Tabell1345[[#This Row],[UCL]],Tabell1345[[#This Row],[Verdi_korrigert_IT]]&lt;Tabell1345[[#This Row],[LCL]]),Tabell1345[[#This Row],[Verdi_korrigert_IT]],NA()),NA())</f>
        <v>#N/A</v>
      </c>
      <c r="BN29">
        <f>IF(Tabell1345[[#This Row],[Brudd]]="x","",Tabell1345[[#This Row],[Verdi]])</f>
        <v>38</v>
      </c>
      <c r="BO29">
        <f>IF(Tabell1345[[#This Row],[Brudd]]="x",NA(),Tabell1345[[#This Row],[Verdi]])</f>
        <v>38</v>
      </c>
      <c r="BP29">
        <f ca="1">IF(ISERROR(Tabell1345[[#This Row],[Verdi_korrigert_IT]]),OFFSET(Tabell1345[[#This Row],[ForrigeGyldige]],-1,0),Tabell1345[[#This Row],[Verdi]])</f>
        <v>38</v>
      </c>
      <c r="BQ29">
        <f>Tabell1345[[#This Row],[Verdi]]</f>
        <v>38</v>
      </c>
    </row>
    <row r="30" spans="1:69" x14ac:dyDescent="0.35">
      <c r="A30">
        <f ca="1">IF(ISNUMBER(OFFSET(Tabell1345[[#This Row],[Nr]],-1,0)),OFFSET(Tabell1345[[#This Row],[Nr]],-1,0))+1</f>
        <v>16</v>
      </c>
      <c r="C30" s="36">
        <v>36</v>
      </c>
      <c r="H30" t="e">
        <f t="shared" si="6"/>
        <v>#N/A</v>
      </c>
      <c r="I30" t="b">
        <f>IF(OR(Tabell1345[[#This Row],[Brudd]]="*",ROW()-ROW(Tabell1345[#All])+1=ROWS(Tabell1345[#All])),ROW())</f>
        <v>0</v>
      </c>
      <c r="J30" s="2">
        <f ca="1">VLOOKUP(Tabell1345[[#This Row],[Nr]],$BV$2:$CB$11,4,TRUE)</f>
        <v>42.7</v>
      </c>
      <c r="K30" s="2">
        <f ca="1">VLOOKUP(Tabell1345[[#This Row],[Nr]],$BV$2:$CB$11,7,TRUE)</f>
        <v>-0.98000000000000398</v>
      </c>
      <c r="L30" s="2">
        <f ca="1">VLOOKUP(Tabell1345[[#This Row],[Nr]],$BV$2:$CB$11,6,TRUE)</f>
        <v>86.38000000000001</v>
      </c>
      <c r="M30">
        <f ca="1">IF(OR(Tabell1345[[#This Row],[Brudd]]="*",ISERROR(Tabell1345[[#This Row],[Verdi_korrigert_IT]])),"",IF(ISNUMBER(OFFSET(Tabell1345[[#This Row],[ForrigeGyldige]],-1,0)),ABS(Tabell1345[[#This Row],[Verdi_korrigert_IT]]-OFFSET(Tabell1345[[#This Row],[ForrigeGyldige]],-1,0)),""))</f>
        <v>2</v>
      </c>
      <c r="N30" t="e">
        <f ca="1">IF(VLOOKUP(Tabell1345[[#This Row],[Nr]],$BV$3:$CB$11,2,TRUE)=1,VLOOKUP(Tabell1345[[#This Row],[Nr]],$BV$3:$CB$11,4,TRUE),NA())</f>
        <v>#N/A</v>
      </c>
      <c r="O30">
        <f ca="1">IF(VLOOKUP(Tabell1345[[#This Row],[Nr]],$BV$3:$CB$11,2,TRUE)=2,VLOOKUP(Tabell1345[[#This Row],[Nr]],$BV$3:$CB$11,4,TRUE),NA())</f>
        <v>42.7</v>
      </c>
      <c r="P30" s="2" t="e">
        <f ca="1">IF(VLOOKUP(Tabell1345[[#This Row],[Nr]],$BV$3:$CB$11,2,TRUE)=3,VLOOKUP(Tabell1345[[#This Row],[Nr]],$BV$3:$CB$11,4,TRUE),NA())</f>
        <v>#N/A</v>
      </c>
      <c r="Q30" t="e">
        <f ca="1">IF(VLOOKUP(Tabell1345[[#This Row],[Nr]],$BV$3:$CB$11,2,TRUE)=4,VLOOKUP(Tabell1345[[#This Row],[Nr]],$BV$3:$CB$11,4,TRUE),NA())</f>
        <v>#N/A</v>
      </c>
      <c r="R30" t="e">
        <f ca="1">IF(VLOOKUP(Tabell1345[[#This Row],[Nr]],$BV$3:$CB$11,2,TRUE)=5,VLOOKUP(Tabell1345[[#This Row],[Nr]],$BV$3:$CB$11,4,TRUE),NA())</f>
        <v>#N/A</v>
      </c>
      <c r="S30" t="e">
        <f ca="1">IF(VLOOKUP(Tabell1345[[#This Row],[Nr]],$BV$3:$CB$11,2,TRUE)=6,VLOOKUP(Tabell1345[[#This Row],[Nr]],$BV$3:$CB$11,4,TRUE),NA())</f>
        <v>#N/A</v>
      </c>
      <c r="T30" t="e">
        <f ca="1">IF(VLOOKUP(Tabell1345[[#This Row],[Nr]],$BV$3:$CB$11,2,TRUE)=7,VLOOKUP(Tabell1345[[#This Row],[Nr]],$BV$3:$CB$11,4,TRUE),NA())</f>
        <v>#N/A</v>
      </c>
      <c r="U30" t="e">
        <f ca="1">IF(VLOOKUP(Tabell1345[[#This Row],[Nr]],$BV$3:$CB$11,2,TRUE)=1,VLOOKUP(Tabell1345[[#This Row],[Nr]],$BV$3:$CB$11,6,TRUE),NA())</f>
        <v>#N/A</v>
      </c>
      <c r="V30">
        <f ca="1">IF(VLOOKUP(Tabell1345[[#This Row],[Nr]],$BV$3:$CB$11,2,TRUE)=2,VLOOKUP(Tabell1345[[#This Row],[Nr]],$BV$3:$CB$11,6,TRUE),NA())</f>
        <v>86.38000000000001</v>
      </c>
      <c r="W30" t="e">
        <f ca="1">IF(VLOOKUP(Tabell1345[[#This Row],[Nr]],$BV$3:$CB$11,2,TRUE)=3,VLOOKUP(Tabell1345[[#This Row],[Nr]],$BV$3:$CB$11,6,TRUE),NA())</f>
        <v>#N/A</v>
      </c>
      <c r="X30" t="e">
        <f ca="1">IF(VLOOKUP(Tabell1345[[#This Row],[Nr]],$BV$3:$CB$11,2,TRUE)=4,VLOOKUP(Tabell1345[[#This Row],[Nr]],$BV$3:$CB$11,6,TRUE),NA())</f>
        <v>#N/A</v>
      </c>
      <c r="Y30" t="e">
        <f ca="1">IF(VLOOKUP(Tabell1345[[#This Row],[Nr]],$BV$3:$CB$11,2,TRUE)=5,VLOOKUP(Tabell1345[[#This Row],[Nr]],$BV$3:$CB$11,6,TRUE),NA())</f>
        <v>#N/A</v>
      </c>
      <c r="Z30" t="e">
        <f ca="1">IF(VLOOKUP(Tabell1345[[#This Row],[Nr]],$BV$3:$CB$11,2,TRUE)=6,VLOOKUP(Tabell1345[[#This Row],[Nr]],$BV$3:$CB$11,6,TRUE),NA())</f>
        <v>#N/A</v>
      </c>
      <c r="AA30" t="e">
        <f ca="1">IF(VLOOKUP(Tabell1345[[#This Row],[Nr]],$BV$3:$CB$11,2,TRUE)=7,VLOOKUP(Tabell1345[[#This Row],[Nr]],$BV$3:$CB$11,6,TRUE),NA())</f>
        <v>#N/A</v>
      </c>
      <c r="AB30" t="e">
        <f ca="1">IF(VLOOKUP(Tabell1345[[#This Row],[Nr]],$BV$3:$CB$11,2,TRUE)=1,VLOOKUP(Tabell1345[[#This Row],[Nr]],$BV$3:$CB$11,7,TRUE),NA())</f>
        <v>#N/A</v>
      </c>
      <c r="AC30">
        <f ca="1">IF(VLOOKUP(Tabell1345[[#This Row],[Nr]],$BV$3:$CB$11,2,TRUE)=2,VLOOKUP(Tabell1345[[#This Row],[Nr]],$BV$3:$CB$11,7,TRUE),NA())</f>
        <v>-0.98000000000000398</v>
      </c>
      <c r="AD30" t="e">
        <f ca="1">IF(VLOOKUP(Tabell1345[[#This Row],[Nr]],$BV$3:$CB$11,2,TRUE)=3,VLOOKUP(Tabell1345[[#This Row],[Nr]],$BV$3:$CB$11,7,TRUE),NA())</f>
        <v>#N/A</v>
      </c>
      <c r="AE30" t="e">
        <f ca="1">IF(VLOOKUP(Tabell1345[[#This Row],[Nr]],$BV$3:$CB$11,2,TRUE)=4,VLOOKUP(Tabell1345[[#This Row],[Nr]],$BV$3:$CB$11,7,TRUE),NA())</f>
        <v>#N/A</v>
      </c>
      <c r="AF30" t="e">
        <f ca="1">IF(VLOOKUP(Tabell1345[[#This Row],[Nr]],$BV$3:$CB$11,2,TRUE)=5,VLOOKUP(Tabell1345[[#This Row],[Nr]],$BV$3:$CB$11,7,TRUE),NA())</f>
        <v>#N/A</v>
      </c>
      <c r="AG30" t="e">
        <f ca="1">IF(VLOOKUP(Tabell1345[[#This Row],[Nr]],$BV$3:$CB$11,2,TRUE)=6,VLOOKUP(Tabell1345[[#This Row],[Nr]],$BV$3:$CB$11,7,TRUE),NA())</f>
        <v>#N/A</v>
      </c>
      <c r="AH30" t="e">
        <f ca="1">IF(VLOOKUP(Tabell1345[[#This Row],[Nr]],$BV$3:$CB$11,2,TRUE)=7,VLOOKUP(Tabell1345[[#This Row],[Nr]],$BV$3:$CB$11,7,TRUE),NA())</f>
        <v>#N/A</v>
      </c>
      <c r="AI30" t="e">
        <f ca="1">IF(VLOOKUP(Tabell1345[[#This Row],[Nr]],$BV$3:$CB$11,2,TRUE)=1,VLOOKUP(Tabell1345[[#This Row],[Nr]],$BV$3:$CB$11,5,TRUE),NA())</f>
        <v>#N/A</v>
      </c>
      <c r="AJ30">
        <f ca="1">IF(VLOOKUP(Tabell1345[[#This Row],[Nr]],$BV$3:$CB$11,2,TRUE)=2,VLOOKUP(Tabell1345[[#This Row],[Nr]],$BV$3:$CB$11,5,TRUE),NA())</f>
        <v>40.5</v>
      </c>
      <c r="AK30" t="e">
        <f ca="1">IF(VLOOKUP(Tabell1345[[#This Row],[Nr]],$BV$3:$CB$11,2,TRUE)=3,VLOOKUP(Tabell1345[[#This Row],[Nr]],$BV$3:$CB$11,5,TRUE),NA())</f>
        <v>#N/A</v>
      </c>
      <c r="AL30" t="e">
        <f ca="1">IF(VLOOKUP(Tabell1345[[#This Row],[Nr]],$BV$3:$CB$11,2,TRUE)=4,VLOOKUP(Tabell1345[[#This Row],[Nr]],$BV$3:$CB$11,5,TRUE),NA())</f>
        <v>#N/A</v>
      </c>
      <c r="AM30" t="e">
        <f ca="1">IF(VLOOKUP(Tabell1345[[#This Row],[Nr]],$BV$3:$CB$11,2,TRUE)=5,VLOOKUP(Tabell1345[[#This Row],[Nr]],$BV$3:$CB$11,5,TRUE),NA())</f>
        <v>#N/A</v>
      </c>
      <c r="AN30" t="e">
        <f ca="1">IF(VLOOKUP(Tabell1345[[#This Row],[Nr]],$BV$3:$CB$11,2,TRUE)=6,VLOOKUP(Tabell1345[[#This Row],[Nr]],$BV$3:$CB$11,5,TRUE),NA())</f>
        <v>#N/A</v>
      </c>
      <c r="AO30" t="e">
        <f ca="1">IF(VLOOKUP(Tabell1345[[#This Row],[Nr]],$BV$3:$CB$11,2,TRUE)=7,VLOOKUP(Tabell1345[[#This Row],[Nr]],$BV$3:$CB$11,5,TRUE),NA())</f>
        <v>#N/A</v>
      </c>
      <c r="AP30" t="e">
        <f ca="1">IF(VLOOKUP(Tabell1345[[#This Row],[Nr]],$BV$3:$CB$11,2,TRUE)=1,Tabell1345[[#This Row],[Verdi_korrigert_IT]],NA())</f>
        <v>#N/A</v>
      </c>
      <c r="AQ30">
        <f ca="1">IF(VLOOKUP(Tabell1345[[#This Row],[Nr]],$BV$3:$CB$11,2,TRUE)=2,Tabell1345[[#This Row],[Verdi_korrigert_IT]],NA())</f>
        <v>36</v>
      </c>
      <c r="AR30" t="e">
        <f ca="1">IF(VLOOKUP(Tabell1345[[#This Row],[Nr]],$BV$3:$CB$11,2,TRUE)=3,Tabell1345[[#This Row],[Verdi_korrigert_IT]],NA())</f>
        <v>#N/A</v>
      </c>
      <c r="AS30" t="e">
        <f ca="1">IF(VLOOKUP(Tabell1345[[#This Row],[Nr]],$BV$3:$CB$11,2,TRUE)=4,Tabell1345[[#This Row],[Verdi_korrigert_IT]],NA())</f>
        <v>#N/A</v>
      </c>
      <c r="AT30" t="e">
        <f ca="1">IF(VLOOKUP(Tabell1345[[#This Row],[Nr]],$BV$3:$CB$11,2,TRUE)=5,Tabell1345[[#This Row],[Verdi_korrigert_IT]],NA())</f>
        <v>#N/A</v>
      </c>
      <c r="AU30" t="e">
        <f ca="1">IF(VLOOKUP(Tabell1345[[#This Row],[Nr]],$BV$3:$CB$11,2,TRUE)=6,Tabell1345[[#This Row],[Verdi_korrigert_IT]],NA())</f>
        <v>#N/A</v>
      </c>
      <c r="AV30" t="e">
        <f ca="1">IF(VLOOKUP(Tabell1345[[#This Row],[Nr]],$BV$3:$CB$11,2,TRUE)=7,Tabell1345[[#This Row],[Verdi_korrigert_IT]],NA())</f>
        <v>#N/A</v>
      </c>
      <c r="AW30">
        <f ca="1">IF(Tabell1345[[#This Row],[Brudd]]&lt;&gt;"*",IF(ISNUMBER(OFFSET(Tabell1345[[#This Row],[ser_indeks]],-1,0)),OFFSET(Tabell1345[[#This Row],[ser_indeks]],-1,0),0),0)+1</f>
        <v>3</v>
      </c>
      <c r="AX30">
        <f ca="1">VLOOKUP(Tabell1345[[#This Row],[Nr]],$BV$2:$BW$9,2,TRUE)</f>
        <v>2</v>
      </c>
      <c r="AY30">
        <f ca="1">IF(OFFSET(Tabell1345[[#This Row],[ser_indeks]],1,0)&lt;Tabell1345[[#This Row],[ser_indeks]],1,0)</f>
        <v>0</v>
      </c>
      <c r="AZ30">
        <f ca="1">IFERROR(VALUE(Tabell1345[[#This Row],[Verdi_korrigert_IT]]),OFFSET(Tabell1345[[#This Row],[verdi_korrigert]],-1,0))</f>
        <v>36</v>
      </c>
      <c r="BA30">
        <f ca="1">_xlfn.RANK.AVG(Tabell1345[[#This Row],[verdi_korrigert]],Tabell1345[verdi_korrigert],1)</f>
        <v>3.5</v>
      </c>
      <c r="BB30">
        <f ca="1">IF(Tabell1345[[#This Row],[rang]]=OFFSET(Tabell1345[[#This Row],[rang]],1,0),1,0)</f>
        <v>0</v>
      </c>
      <c r="BC30">
        <f ca="1">IF(AND(Tabell1345[[#This Row],[rang]]&gt;=OFFSET(Tabell1345[[#This Row],[rang]],-1,0),Tabell1345[[#This Row],[ser_indeks]]&gt;1),IFERROR(VALUE(OFFSET(Tabell1345[[#This Row],[rang_stig]],-1,0)),0)+1,VALUE($CH$3)-1)-Tabell1345[[#This Row],[rang_samme]]</f>
        <v>0</v>
      </c>
      <c r="BD30">
        <f ca="1">IF(AND(Tabell1345[[#This Row],[rang]]&lt;=OFFSET(Tabell1345[[#This Row],[rang]],-1,0),Tabell1345[[#This Row],[ser_indeks]]&gt;1),IFERROR(VALUE(OFFSET(Tabell1345[[#This Row],[rang_synk]],-1,0)),0)+1,VALUE($CH$3)-1)-Tabell1345[[#This Row],[rang_samme]]</f>
        <v>2</v>
      </c>
      <c r="BE30">
        <f ca="1">MAXA(Tabell1345[[#This Row],[rang_stig]:[rang_synk]])</f>
        <v>2</v>
      </c>
      <c r="BF30">
        <f ca="1">($CH$2-1)+_xlfn.AGGREGATE(9,6,Tabell1345[[#This Row],[rang_samme]]:OFFSET(Tabell1345[[#This Row],[rang_samme]],($CH$2-1),0))</f>
        <v>5</v>
      </c>
      <c r="BG30" t="e">
        <f ca="1">IF($G$9="ja",IF(MAXA(Tabell1345[[#This Row],[rang_stigsynk]]:INDIRECT(ADDRESS(ROW(Tabell1345[[#This Row],[rang_stigsynk]])+Tabell1345[[#This Row],[trend_omr]],COLUMN(Tabell1345[[#This Row],[rang_stigsynk]]))))&gt;($CH$2-2),Tabell1345[[#This Row],[Verdi_korrigert_IT]],NA()),NA())</f>
        <v>#N/A</v>
      </c>
      <c r="BH30" s="5" t="e">
        <f ca="1">IF(Tabell1345[[#This Row],[ser_indeks]]&gt;3,_xlfn.AGGREGATE(4,4,OFFSET(Tabell1345[[#This Row],[Verdi1]],-3,Tabell1345[[#This Row],[serie_nr]]-1):OFFSET(Tabell1345[[#This Row],[Verdi1]],4,Tabell1345[[#This Row],[serie_nr]]-1)),NA())</f>
        <v>#N/A</v>
      </c>
      <c r="BI30" s="5" t="e">
        <f ca="1">IF(Tabell1345[[#This Row],[ser_indeks]]&gt;3,_xlfn.AGGREGATE(5,4,OFFSET(Tabell1345[[#This Row],[Verdi1]],-3,Tabell1345[[#This Row],[serie_nr]]-1):OFFSET(Tabell1345[[#This Row],[Verdi1]],4,Tabell1345[[#This Row],[serie_nr]]-1)),NA())</f>
        <v>#N/A</v>
      </c>
      <c r="BJ30" s="5" t="e">
        <f ca="1">IF(_xlfn.AGGREGATE(4,6,Tabell1345[[#This Row],[til_brudd_rader]]:OFFSET(Tabell1345[[#This Row],[til_brudd_rader]],3,0))&gt;0,NA(),IF(Tabell1345[[#This Row],[skifte_lav1]]&lt;Tabell1345[[#This Row],[Snitt]],Tabell1345[[#This Row],[Verdi_korrigert_IT]],NA()))</f>
        <v>#N/A</v>
      </c>
      <c r="BK30" s="5" t="e">
        <f ca="1">IF(_xlfn.AGGREGATE(4,6,Tabell1345[[#This Row],[til_brudd_rader]]:OFFSET(Tabell1345[[#This Row],[til_brudd_rader]],3,0))&gt;0,NA(),IF(Tabell1345[[#This Row],[skifte_høy1]]&gt;Tabell1345[[#This Row],[Snitt]],Tabell1345[[#This Row],[Verdi_korrigert_IT]],NA()))</f>
        <v>#N/A</v>
      </c>
      <c r="BL30" t="e">
        <f ca="1">IF($G$9="ja",IFERROR(IF(_xlfn.AGGREGATE(4,6,OFFSET(Tabell1345[[#This Row],[skifte_lav2]],-4,0):OFFSET(Tabell1345[[#This Row],[skifte_lav2]],3,1))&gt;0,Tabell1345[[#This Row],[Verdi_korrigert_IT]],NA()),NA()),NA())</f>
        <v>#N/A</v>
      </c>
      <c r="BM30" t="e">
        <f ca="1">IF($G$9="ja",IF(OR(Tabell1345[[#This Row],[Verdi_korrigert_IT]]&gt;Tabell1345[[#This Row],[UCL]],Tabell1345[[#This Row],[Verdi_korrigert_IT]]&lt;Tabell1345[[#This Row],[LCL]]),Tabell1345[[#This Row],[Verdi_korrigert_IT]],NA()),NA())</f>
        <v>#N/A</v>
      </c>
      <c r="BN30">
        <f>IF(Tabell1345[[#This Row],[Brudd]]="x","",Tabell1345[[#This Row],[Verdi]])</f>
        <v>36</v>
      </c>
      <c r="BO30">
        <f>IF(Tabell1345[[#This Row],[Brudd]]="x",NA(),Tabell1345[[#This Row],[Verdi]])</f>
        <v>36</v>
      </c>
      <c r="BP30">
        <f ca="1">IF(ISERROR(Tabell1345[[#This Row],[Verdi_korrigert_IT]]),OFFSET(Tabell1345[[#This Row],[ForrigeGyldige]],-1,0),Tabell1345[[#This Row],[Verdi]])</f>
        <v>36</v>
      </c>
      <c r="BQ30">
        <f>Tabell1345[[#This Row],[Verdi]]</f>
        <v>36</v>
      </c>
    </row>
    <row r="31" spans="1:69" x14ac:dyDescent="0.35">
      <c r="A31">
        <f ca="1">IF(ISNUMBER(OFFSET(Tabell1345[[#This Row],[Nr]],-1,0)),OFFSET(Tabell1345[[#This Row],[Nr]],-1,0))+1</f>
        <v>17</v>
      </c>
      <c r="C31" s="36">
        <v>44</v>
      </c>
      <c r="H31" t="e">
        <f t="shared" si="6"/>
        <v>#N/A</v>
      </c>
      <c r="I31" t="b">
        <f>IF(OR(Tabell1345[[#This Row],[Brudd]]="*",ROW()-ROW(Tabell1345[#All])+1=ROWS(Tabell1345[#All])),ROW())</f>
        <v>0</v>
      </c>
      <c r="J31" s="2">
        <f ca="1">VLOOKUP(Tabell1345[[#This Row],[Nr]],$BV$2:$CB$11,4,TRUE)</f>
        <v>42.7</v>
      </c>
      <c r="K31" s="2">
        <f ca="1">VLOOKUP(Tabell1345[[#This Row],[Nr]],$BV$2:$CB$11,7,TRUE)</f>
        <v>-0.98000000000000398</v>
      </c>
      <c r="L31" s="2">
        <f ca="1">VLOOKUP(Tabell1345[[#This Row],[Nr]],$BV$2:$CB$11,6,TRUE)</f>
        <v>86.38000000000001</v>
      </c>
      <c r="M31">
        <f ca="1">IF(OR(Tabell1345[[#This Row],[Brudd]]="*",ISERROR(Tabell1345[[#This Row],[Verdi_korrigert_IT]])),"",IF(ISNUMBER(OFFSET(Tabell1345[[#This Row],[ForrigeGyldige]],-1,0)),ABS(Tabell1345[[#This Row],[Verdi_korrigert_IT]]-OFFSET(Tabell1345[[#This Row],[ForrigeGyldige]],-1,0)),""))</f>
        <v>8</v>
      </c>
      <c r="N31" t="e">
        <f ca="1">IF(VLOOKUP(Tabell1345[[#This Row],[Nr]],$BV$3:$CB$11,2,TRUE)=1,VLOOKUP(Tabell1345[[#This Row],[Nr]],$BV$3:$CB$11,4,TRUE),NA())</f>
        <v>#N/A</v>
      </c>
      <c r="O31">
        <f ca="1">IF(VLOOKUP(Tabell1345[[#This Row],[Nr]],$BV$3:$CB$11,2,TRUE)=2,VLOOKUP(Tabell1345[[#This Row],[Nr]],$BV$3:$CB$11,4,TRUE),NA())</f>
        <v>42.7</v>
      </c>
      <c r="P31" s="2" t="e">
        <f ca="1">IF(VLOOKUP(Tabell1345[[#This Row],[Nr]],$BV$3:$CB$11,2,TRUE)=3,VLOOKUP(Tabell1345[[#This Row],[Nr]],$BV$3:$CB$11,4,TRUE),NA())</f>
        <v>#N/A</v>
      </c>
      <c r="Q31" t="e">
        <f ca="1">IF(VLOOKUP(Tabell1345[[#This Row],[Nr]],$BV$3:$CB$11,2,TRUE)=4,VLOOKUP(Tabell1345[[#This Row],[Nr]],$BV$3:$CB$11,4,TRUE),NA())</f>
        <v>#N/A</v>
      </c>
      <c r="R31" t="e">
        <f ca="1">IF(VLOOKUP(Tabell1345[[#This Row],[Nr]],$BV$3:$CB$11,2,TRUE)=5,VLOOKUP(Tabell1345[[#This Row],[Nr]],$BV$3:$CB$11,4,TRUE),NA())</f>
        <v>#N/A</v>
      </c>
      <c r="S31" t="e">
        <f ca="1">IF(VLOOKUP(Tabell1345[[#This Row],[Nr]],$BV$3:$CB$11,2,TRUE)=6,VLOOKUP(Tabell1345[[#This Row],[Nr]],$BV$3:$CB$11,4,TRUE),NA())</f>
        <v>#N/A</v>
      </c>
      <c r="T31" t="e">
        <f ca="1">IF(VLOOKUP(Tabell1345[[#This Row],[Nr]],$BV$3:$CB$11,2,TRUE)=7,VLOOKUP(Tabell1345[[#This Row],[Nr]],$BV$3:$CB$11,4,TRUE),NA())</f>
        <v>#N/A</v>
      </c>
      <c r="U31" t="e">
        <f ca="1">IF(VLOOKUP(Tabell1345[[#This Row],[Nr]],$BV$3:$CB$11,2,TRUE)=1,VLOOKUP(Tabell1345[[#This Row],[Nr]],$BV$3:$CB$11,6,TRUE),NA())</f>
        <v>#N/A</v>
      </c>
      <c r="V31">
        <f ca="1">IF(VLOOKUP(Tabell1345[[#This Row],[Nr]],$BV$3:$CB$11,2,TRUE)=2,VLOOKUP(Tabell1345[[#This Row],[Nr]],$BV$3:$CB$11,6,TRUE),NA())</f>
        <v>86.38000000000001</v>
      </c>
      <c r="W31" t="e">
        <f ca="1">IF(VLOOKUP(Tabell1345[[#This Row],[Nr]],$BV$3:$CB$11,2,TRUE)=3,VLOOKUP(Tabell1345[[#This Row],[Nr]],$BV$3:$CB$11,6,TRUE),NA())</f>
        <v>#N/A</v>
      </c>
      <c r="X31" t="e">
        <f ca="1">IF(VLOOKUP(Tabell1345[[#This Row],[Nr]],$BV$3:$CB$11,2,TRUE)=4,VLOOKUP(Tabell1345[[#This Row],[Nr]],$BV$3:$CB$11,6,TRUE),NA())</f>
        <v>#N/A</v>
      </c>
      <c r="Y31" t="e">
        <f ca="1">IF(VLOOKUP(Tabell1345[[#This Row],[Nr]],$BV$3:$CB$11,2,TRUE)=5,VLOOKUP(Tabell1345[[#This Row],[Nr]],$BV$3:$CB$11,6,TRUE),NA())</f>
        <v>#N/A</v>
      </c>
      <c r="Z31" t="e">
        <f ca="1">IF(VLOOKUP(Tabell1345[[#This Row],[Nr]],$BV$3:$CB$11,2,TRUE)=6,VLOOKUP(Tabell1345[[#This Row],[Nr]],$BV$3:$CB$11,6,TRUE),NA())</f>
        <v>#N/A</v>
      </c>
      <c r="AA31" t="e">
        <f ca="1">IF(VLOOKUP(Tabell1345[[#This Row],[Nr]],$BV$3:$CB$11,2,TRUE)=7,VLOOKUP(Tabell1345[[#This Row],[Nr]],$BV$3:$CB$11,6,TRUE),NA())</f>
        <v>#N/A</v>
      </c>
      <c r="AB31" t="e">
        <f ca="1">IF(VLOOKUP(Tabell1345[[#This Row],[Nr]],$BV$3:$CB$11,2,TRUE)=1,VLOOKUP(Tabell1345[[#This Row],[Nr]],$BV$3:$CB$11,7,TRUE),NA())</f>
        <v>#N/A</v>
      </c>
      <c r="AC31">
        <f ca="1">IF(VLOOKUP(Tabell1345[[#This Row],[Nr]],$BV$3:$CB$11,2,TRUE)=2,VLOOKUP(Tabell1345[[#This Row],[Nr]],$BV$3:$CB$11,7,TRUE),NA())</f>
        <v>-0.98000000000000398</v>
      </c>
      <c r="AD31" t="e">
        <f ca="1">IF(VLOOKUP(Tabell1345[[#This Row],[Nr]],$BV$3:$CB$11,2,TRUE)=3,VLOOKUP(Tabell1345[[#This Row],[Nr]],$BV$3:$CB$11,7,TRUE),NA())</f>
        <v>#N/A</v>
      </c>
      <c r="AE31" t="e">
        <f ca="1">IF(VLOOKUP(Tabell1345[[#This Row],[Nr]],$BV$3:$CB$11,2,TRUE)=4,VLOOKUP(Tabell1345[[#This Row],[Nr]],$BV$3:$CB$11,7,TRUE),NA())</f>
        <v>#N/A</v>
      </c>
      <c r="AF31" t="e">
        <f ca="1">IF(VLOOKUP(Tabell1345[[#This Row],[Nr]],$BV$3:$CB$11,2,TRUE)=5,VLOOKUP(Tabell1345[[#This Row],[Nr]],$BV$3:$CB$11,7,TRUE),NA())</f>
        <v>#N/A</v>
      </c>
      <c r="AG31" t="e">
        <f ca="1">IF(VLOOKUP(Tabell1345[[#This Row],[Nr]],$BV$3:$CB$11,2,TRUE)=6,VLOOKUP(Tabell1345[[#This Row],[Nr]],$BV$3:$CB$11,7,TRUE),NA())</f>
        <v>#N/A</v>
      </c>
      <c r="AH31" t="e">
        <f ca="1">IF(VLOOKUP(Tabell1345[[#This Row],[Nr]],$BV$3:$CB$11,2,TRUE)=7,VLOOKUP(Tabell1345[[#This Row],[Nr]],$BV$3:$CB$11,7,TRUE),NA())</f>
        <v>#N/A</v>
      </c>
      <c r="AI31" t="e">
        <f ca="1">IF(VLOOKUP(Tabell1345[[#This Row],[Nr]],$BV$3:$CB$11,2,TRUE)=1,VLOOKUP(Tabell1345[[#This Row],[Nr]],$BV$3:$CB$11,5,TRUE),NA())</f>
        <v>#N/A</v>
      </c>
      <c r="AJ31">
        <f ca="1">IF(VLOOKUP(Tabell1345[[#This Row],[Nr]],$BV$3:$CB$11,2,TRUE)=2,VLOOKUP(Tabell1345[[#This Row],[Nr]],$BV$3:$CB$11,5,TRUE),NA())</f>
        <v>40.5</v>
      </c>
      <c r="AK31" t="e">
        <f ca="1">IF(VLOOKUP(Tabell1345[[#This Row],[Nr]],$BV$3:$CB$11,2,TRUE)=3,VLOOKUP(Tabell1345[[#This Row],[Nr]],$BV$3:$CB$11,5,TRUE),NA())</f>
        <v>#N/A</v>
      </c>
      <c r="AL31" t="e">
        <f ca="1">IF(VLOOKUP(Tabell1345[[#This Row],[Nr]],$BV$3:$CB$11,2,TRUE)=4,VLOOKUP(Tabell1345[[#This Row],[Nr]],$BV$3:$CB$11,5,TRUE),NA())</f>
        <v>#N/A</v>
      </c>
      <c r="AM31" t="e">
        <f ca="1">IF(VLOOKUP(Tabell1345[[#This Row],[Nr]],$BV$3:$CB$11,2,TRUE)=5,VLOOKUP(Tabell1345[[#This Row],[Nr]],$BV$3:$CB$11,5,TRUE),NA())</f>
        <v>#N/A</v>
      </c>
      <c r="AN31" t="e">
        <f ca="1">IF(VLOOKUP(Tabell1345[[#This Row],[Nr]],$BV$3:$CB$11,2,TRUE)=6,VLOOKUP(Tabell1345[[#This Row],[Nr]],$BV$3:$CB$11,5,TRUE),NA())</f>
        <v>#N/A</v>
      </c>
      <c r="AO31" t="e">
        <f ca="1">IF(VLOOKUP(Tabell1345[[#This Row],[Nr]],$BV$3:$CB$11,2,TRUE)=7,VLOOKUP(Tabell1345[[#This Row],[Nr]],$BV$3:$CB$11,5,TRUE),NA())</f>
        <v>#N/A</v>
      </c>
      <c r="AP31" t="e">
        <f ca="1">IF(VLOOKUP(Tabell1345[[#This Row],[Nr]],$BV$3:$CB$11,2,TRUE)=1,Tabell1345[[#This Row],[Verdi_korrigert_IT]],NA())</f>
        <v>#N/A</v>
      </c>
      <c r="AQ31">
        <f ca="1">IF(VLOOKUP(Tabell1345[[#This Row],[Nr]],$BV$3:$CB$11,2,TRUE)=2,Tabell1345[[#This Row],[Verdi_korrigert_IT]],NA())</f>
        <v>44</v>
      </c>
      <c r="AR31" t="e">
        <f ca="1">IF(VLOOKUP(Tabell1345[[#This Row],[Nr]],$BV$3:$CB$11,2,TRUE)=3,Tabell1345[[#This Row],[Verdi_korrigert_IT]],NA())</f>
        <v>#N/A</v>
      </c>
      <c r="AS31" t="e">
        <f ca="1">IF(VLOOKUP(Tabell1345[[#This Row],[Nr]],$BV$3:$CB$11,2,TRUE)=4,Tabell1345[[#This Row],[Verdi_korrigert_IT]],NA())</f>
        <v>#N/A</v>
      </c>
      <c r="AT31" t="e">
        <f ca="1">IF(VLOOKUP(Tabell1345[[#This Row],[Nr]],$BV$3:$CB$11,2,TRUE)=5,Tabell1345[[#This Row],[Verdi_korrigert_IT]],NA())</f>
        <v>#N/A</v>
      </c>
      <c r="AU31" t="e">
        <f ca="1">IF(VLOOKUP(Tabell1345[[#This Row],[Nr]],$BV$3:$CB$11,2,TRUE)=6,Tabell1345[[#This Row],[Verdi_korrigert_IT]],NA())</f>
        <v>#N/A</v>
      </c>
      <c r="AV31" t="e">
        <f ca="1">IF(VLOOKUP(Tabell1345[[#This Row],[Nr]],$BV$3:$CB$11,2,TRUE)=7,Tabell1345[[#This Row],[Verdi_korrigert_IT]],NA())</f>
        <v>#N/A</v>
      </c>
      <c r="AW31">
        <f ca="1">IF(Tabell1345[[#This Row],[Brudd]]&lt;&gt;"*",IF(ISNUMBER(OFFSET(Tabell1345[[#This Row],[ser_indeks]],-1,0)),OFFSET(Tabell1345[[#This Row],[ser_indeks]],-1,0),0),0)+1</f>
        <v>4</v>
      </c>
      <c r="AX31">
        <f ca="1">VLOOKUP(Tabell1345[[#This Row],[Nr]],$BV$2:$BW$9,2,TRUE)</f>
        <v>2</v>
      </c>
      <c r="AY31">
        <f ca="1">IF(OFFSET(Tabell1345[[#This Row],[ser_indeks]],1,0)&lt;Tabell1345[[#This Row],[ser_indeks]],1,0)</f>
        <v>0</v>
      </c>
      <c r="AZ31">
        <f ca="1">IFERROR(VALUE(Tabell1345[[#This Row],[Verdi_korrigert_IT]]),OFFSET(Tabell1345[[#This Row],[verdi_korrigert]],-1,0))</f>
        <v>44</v>
      </c>
      <c r="BA31">
        <f ca="1">_xlfn.RANK.AVG(Tabell1345[[#This Row],[verdi_korrigert]],Tabell1345[verdi_korrigert],1)</f>
        <v>14.5</v>
      </c>
      <c r="BB31">
        <f ca="1">IF(Tabell1345[[#This Row],[rang]]=OFFSET(Tabell1345[[#This Row],[rang]],1,0),1,0)</f>
        <v>0</v>
      </c>
      <c r="BC31">
        <f ca="1">IF(AND(Tabell1345[[#This Row],[rang]]&gt;=OFFSET(Tabell1345[[#This Row],[rang]],-1,0),Tabell1345[[#This Row],[ser_indeks]]&gt;1),IFERROR(VALUE(OFFSET(Tabell1345[[#This Row],[rang_stig]],-1,0)),0)+1,VALUE($CH$3)-1)-Tabell1345[[#This Row],[rang_samme]]</f>
        <v>1</v>
      </c>
      <c r="BD31">
        <f ca="1">IF(AND(Tabell1345[[#This Row],[rang]]&lt;=OFFSET(Tabell1345[[#This Row],[rang]],-1,0),Tabell1345[[#This Row],[ser_indeks]]&gt;1),IFERROR(VALUE(OFFSET(Tabell1345[[#This Row],[rang_synk]],-1,0)),0)+1,VALUE($CH$3)-1)-Tabell1345[[#This Row],[rang_samme]]</f>
        <v>0</v>
      </c>
      <c r="BE31">
        <f ca="1">MAXA(Tabell1345[[#This Row],[rang_stig]:[rang_synk]])</f>
        <v>1</v>
      </c>
      <c r="BF31">
        <f ca="1">($CH$2-1)+_xlfn.AGGREGATE(9,6,Tabell1345[[#This Row],[rang_samme]]:OFFSET(Tabell1345[[#This Row],[rang_samme]],($CH$2-1),0))</f>
        <v>5</v>
      </c>
      <c r="BG31" t="e">
        <f ca="1">IF($G$9="ja",IF(MAXA(Tabell1345[[#This Row],[rang_stigsynk]]:INDIRECT(ADDRESS(ROW(Tabell1345[[#This Row],[rang_stigsynk]])+Tabell1345[[#This Row],[trend_omr]],COLUMN(Tabell1345[[#This Row],[rang_stigsynk]]))))&gt;($CH$2-2),Tabell1345[[#This Row],[Verdi_korrigert_IT]],NA()),NA())</f>
        <v>#N/A</v>
      </c>
      <c r="BH31" s="5">
        <f ca="1">IF(Tabell1345[[#This Row],[ser_indeks]]&gt;3,_xlfn.AGGREGATE(4,4,OFFSET(Tabell1345[[#This Row],[Verdi1]],-3,Tabell1345[[#This Row],[serie_nr]]-1):OFFSET(Tabell1345[[#This Row],[Verdi1]],4,Tabell1345[[#This Row],[serie_nr]]-1)),NA())</f>
        <v>53</v>
      </c>
      <c r="BI31" s="5">
        <f ca="1">IF(Tabell1345[[#This Row],[ser_indeks]]&gt;3,_xlfn.AGGREGATE(5,4,OFFSET(Tabell1345[[#This Row],[Verdi1]],-3,Tabell1345[[#This Row],[serie_nr]]-1):OFFSET(Tabell1345[[#This Row],[Verdi1]],4,Tabell1345[[#This Row],[serie_nr]]-1)),NA())</f>
        <v>36</v>
      </c>
      <c r="BJ31" s="5" t="e">
        <f ca="1">IF(_xlfn.AGGREGATE(4,6,Tabell1345[[#This Row],[til_brudd_rader]]:OFFSET(Tabell1345[[#This Row],[til_brudd_rader]],3,0))&gt;0,NA(),IF(Tabell1345[[#This Row],[skifte_lav1]]&lt;Tabell1345[[#This Row],[Snitt]],Tabell1345[[#This Row],[Verdi_korrigert_IT]],NA()))</f>
        <v>#N/A</v>
      </c>
      <c r="BK31" s="5" t="e">
        <f ca="1">IF(_xlfn.AGGREGATE(4,6,Tabell1345[[#This Row],[til_brudd_rader]]:OFFSET(Tabell1345[[#This Row],[til_brudd_rader]],3,0))&gt;0,NA(),IF(Tabell1345[[#This Row],[skifte_høy1]]&gt;Tabell1345[[#This Row],[Snitt]],Tabell1345[[#This Row],[Verdi_korrigert_IT]],NA()))</f>
        <v>#N/A</v>
      </c>
      <c r="BL31" t="e">
        <f ca="1">IF($G$9="ja",IFERROR(IF(_xlfn.AGGREGATE(4,6,OFFSET(Tabell1345[[#This Row],[skifte_lav2]],-4,0):OFFSET(Tabell1345[[#This Row],[skifte_lav2]],3,1))&gt;0,Tabell1345[[#This Row],[Verdi_korrigert_IT]],NA()),NA()),NA())</f>
        <v>#N/A</v>
      </c>
      <c r="BM31" t="e">
        <f ca="1">IF($G$9="ja",IF(OR(Tabell1345[[#This Row],[Verdi_korrigert_IT]]&gt;Tabell1345[[#This Row],[UCL]],Tabell1345[[#This Row],[Verdi_korrigert_IT]]&lt;Tabell1345[[#This Row],[LCL]]),Tabell1345[[#This Row],[Verdi_korrigert_IT]],NA()),NA())</f>
        <v>#N/A</v>
      </c>
      <c r="BN31">
        <f>IF(Tabell1345[[#This Row],[Brudd]]="x","",Tabell1345[[#This Row],[Verdi]])</f>
        <v>44</v>
      </c>
      <c r="BO31">
        <f>IF(Tabell1345[[#This Row],[Brudd]]="x",NA(),Tabell1345[[#This Row],[Verdi]])</f>
        <v>44</v>
      </c>
      <c r="BP31">
        <f ca="1">IF(ISERROR(Tabell1345[[#This Row],[Verdi_korrigert_IT]]),OFFSET(Tabell1345[[#This Row],[ForrigeGyldige]],-1,0),Tabell1345[[#This Row],[Verdi]])</f>
        <v>44</v>
      </c>
      <c r="BQ31">
        <f>Tabell1345[[#This Row],[Verdi]]</f>
        <v>44</v>
      </c>
    </row>
    <row r="32" spans="1:69" x14ac:dyDescent="0.35">
      <c r="A32">
        <f ca="1">IF(ISNUMBER(OFFSET(Tabell1345[[#This Row],[Nr]],-1,0)),OFFSET(Tabell1345[[#This Row],[Nr]],-1,0))+1</f>
        <v>18</v>
      </c>
      <c r="C32" s="36">
        <v>37</v>
      </c>
      <c r="H32" t="e">
        <f t="shared" si="6"/>
        <v>#N/A</v>
      </c>
      <c r="I32" t="b">
        <f>IF(OR(Tabell1345[[#This Row],[Brudd]]="*",ROW()-ROW(Tabell1345[#All])+1=ROWS(Tabell1345[#All])),ROW())</f>
        <v>0</v>
      </c>
      <c r="J32" s="2">
        <f ca="1">VLOOKUP(Tabell1345[[#This Row],[Nr]],$BV$2:$CB$11,4,TRUE)</f>
        <v>42.7</v>
      </c>
      <c r="K32" s="2">
        <f ca="1">VLOOKUP(Tabell1345[[#This Row],[Nr]],$BV$2:$CB$11,7,TRUE)</f>
        <v>-0.98000000000000398</v>
      </c>
      <c r="L32" s="2">
        <f ca="1">VLOOKUP(Tabell1345[[#This Row],[Nr]],$BV$2:$CB$11,6,TRUE)</f>
        <v>86.38000000000001</v>
      </c>
      <c r="M32">
        <f ca="1">IF(OR(Tabell1345[[#This Row],[Brudd]]="*",ISERROR(Tabell1345[[#This Row],[Verdi_korrigert_IT]])),"",IF(ISNUMBER(OFFSET(Tabell1345[[#This Row],[ForrigeGyldige]],-1,0)),ABS(Tabell1345[[#This Row],[Verdi_korrigert_IT]]-OFFSET(Tabell1345[[#This Row],[ForrigeGyldige]],-1,0)),""))</f>
        <v>7</v>
      </c>
      <c r="N32" t="e">
        <f ca="1">IF(VLOOKUP(Tabell1345[[#This Row],[Nr]],$BV$3:$CB$11,2,TRUE)=1,VLOOKUP(Tabell1345[[#This Row],[Nr]],$BV$3:$CB$11,4,TRUE),NA())</f>
        <v>#N/A</v>
      </c>
      <c r="O32">
        <f ca="1">IF(VLOOKUP(Tabell1345[[#This Row],[Nr]],$BV$3:$CB$11,2,TRUE)=2,VLOOKUP(Tabell1345[[#This Row],[Nr]],$BV$3:$CB$11,4,TRUE),NA())</f>
        <v>42.7</v>
      </c>
      <c r="P32" s="2" t="e">
        <f ca="1">IF(VLOOKUP(Tabell1345[[#This Row],[Nr]],$BV$3:$CB$11,2,TRUE)=3,VLOOKUP(Tabell1345[[#This Row],[Nr]],$BV$3:$CB$11,4,TRUE),NA())</f>
        <v>#N/A</v>
      </c>
      <c r="Q32" t="e">
        <f ca="1">IF(VLOOKUP(Tabell1345[[#This Row],[Nr]],$BV$3:$CB$11,2,TRUE)=4,VLOOKUP(Tabell1345[[#This Row],[Nr]],$BV$3:$CB$11,4,TRUE),NA())</f>
        <v>#N/A</v>
      </c>
      <c r="R32" t="e">
        <f ca="1">IF(VLOOKUP(Tabell1345[[#This Row],[Nr]],$BV$3:$CB$11,2,TRUE)=5,VLOOKUP(Tabell1345[[#This Row],[Nr]],$BV$3:$CB$11,4,TRUE),NA())</f>
        <v>#N/A</v>
      </c>
      <c r="S32" t="e">
        <f ca="1">IF(VLOOKUP(Tabell1345[[#This Row],[Nr]],$BV$3:$CB$11,2,TRUE)=6,VLOOKUP(Tabell1345[[#This Row],[Nr]],$BV$3:$CB$11,4,TRUE),NA())</f>
        <v>#N/A</v>
      </c>
      <c r="T32" t="e">
        <f ca="1">IF(VLOOKUP(Tabell1345[[#This Row],[Nr]],$BV$3:$CB$11,2,TRUE)=7,VLOOKUP(Tabell1345[[#This Row],[Nr]],$BV$3:$CB$11,4,TRUE),NA())</f>
        <v>#N/A</v>
      </c>
      <c r="U32" t="e">
        <f ca="1">IF(VLOOKUP(Tabell1345[[#This Row],[Nr]],$BV$3:$CB$11,2,TRUE)=1,VLOOKUP(Tabell1345[[#This Row],[Nr]],$BV$3:$CB$11,6,TRUE),NA())</f>
        <v>#N/A</v>
      </c>
      <c r="V32">
        <f ca="1">IF(VLOOKUP(Tabell1345[[#This Row],[Nr]],$BV$3:$CB$11,2,TRUE)=2,VLOOKUP(Tabell1345[[#This Row],[Nr]],$BV$3:$CB$11,6,TRUE),NA())</f>
        <v>86.38000000000001</v>
      </c>
      <c r="W32" t="e">
        <f ca="1">IF(VLOOKUP(Tabell1345[[#This Row],[Nr]],$BV$3:$CB$11,2,TRUE)=3,VLOOKUP(Tabell1345[[#This Row],[Nr]],$BV$3:$CB$11,6,TRUE),NA())</f>
        <v>#N/A</v>
      </c>
      <c r="X32" t="e">
        <f ca="1">IF(VLOOKUP(Tabell1345[[#This Row],[Nr]],$BV$3:$CB$11,2,TRUE)=4,VLOOKUP(Tabell1345[[#This Row],[Nr]],$BV$3:$CB$11,6,TRUE),NA())</f>
        <v>#N/A</v>
      </c>
      <c r="Y32" t="e">
        <f ca="1">IF(VLOOKUP(Tabell1345[[#This Row],[Nr]],$BV$3:$CB$11,2,TRUE)=5,VLOOKUP(Tabell1345[[#This Row],[Nr]],$BV$3:$CB$11,6,TRUE),NA())</f>
        <v>#N/A</v>
      </c>
      <c r="Z32" t="e">
        <f ca="1">IF(VLOOKUP(Tabell1345[[#This Row],[Nr]],$BV$3:$CB$11,2,TRUE)=6,VLOOKUP(Tabell1345[[#This Row],[Nr]],$BV$3:$CB$11,6,TRUE),NA())</f>
        <v>#N/A</v>
      </c>
      <c r="AA32" t="e">
        <f ca="1">IF(VLOOKUP(Tabell1345[[#This Row],[Nr]],$BV$3:$CB$11,2,TRUE)=7,VLOOKUP(Tabell1345[[#This Row],[Nr]],$BV$3:$CB$11,6,TRUE),NA())</f>
        <v>#N/A</v>
      </c>
      <c r="AB32" t="e">
        <f ca="1">IF(VLOOKUP(Tabell1345[[#This Row],[Nr]],$BV$3:$CB$11,2,TRUE)=1,VLOOKUP(Tabell1345[[#This Row],[Nr]],$BV$3:$CB$11,7,TRUE),NA())</f>
        <v>#N/A</v>
      </c>
      <c r="AC32">
        <f ca="1">IF(VLOOKUP(Tabell1345[[#This Row],[Nr]],$BV$3:$CB$11,2,TRUE)=2,VLOOKUP(Tabell1345[[#This Row],[Nr]],$BV$3:$CB$11,7,TRUE),NA())</f>
        <v>-0.98000000000000398</v>
      </c>
      <c r="AD32" t="e">
        <f ca="1">IF(VLOOKUP(Tabell1345[[#This Row],[Nr]],$BV$3:$CB$11,2,TRUE)=3,VLOOKUP(Tabell1345[[#This Row],[Nr]],$BV$3:$CB$11,7,TRUE),NA())</f>
        <v>#N/A</v>
      </c>
      <c r="AE32" t="e">
        <f ca="1">IF(VLOOKUP(Tabell1345[[#This Row],[Nr]],$BV$3:$CB$11,2,TRUE)=4,VLOOKUP(Tabell1345[[#This Row],[Nr]],$BV$3:$CB$11,7,TRUE),NA())</f>
        <v>#N/A</v>
      </c>
      <c r="AF32" t="e">
        <f ca="1">IF(VLOOKUP(Tabell1345[[#This Row],[Nr]],$BV$3:$CB$11,2,TRUE)=5,VLOOKUP(Tabell1345[[#This Row],[Nr]],$BV$3:$CB$11,7,TRUE),NA())</f>
        <v>#N/A</v>
      </c>
      <c r="AG32" t="e">
        <f ca="1">IF(VLOOKUP(Tabell1345[[#This Row],[Nr]],$BV$3:$CB$11,2,TRUE)=6,VLOOKUP(Tabell1345[[#This Row],[Nr]],$BV$3:$CB$11,7,TRUE),NA())</f>
        <v>#N/A</v>
      </c>
      <c r="AH32" t="e">
        <f ca="1">IF(VLOOKUP(Tabell1345[[#This Row],[Nr]],$BV$3:$CB$11,2,TRUE)=7,VLOOKUP(Tabell1345[[#This Row],[Nr]],$BV$3:$CB$11,7,TRUE),NA())</f>
        <v>#N/A</v>
      </c>
      <c r="AI32" t="e">
        <f ca="1">IF(VLOOKUP(Tabell1345[[#This Row],[Nr]],$BV$3:$CB$11,2,TRUE)=1,VLOOKUP(Tabell1345[[#This Row],[Nr]],$BV$3:$CB$11,5,TRUE),NA())</f>
        <v>#N/A</v>
      </c>
      <c r="AJ32">
        <f ca="1">IF(VLOOKUP(Tabell1345[[#This Row],[Nr]],$BV$3:$CB$11,2,TRUE)=2,VLOOKUP(Tabell1345[[#This Row],[Nr]],$BV$3:$CB$11,5,TRUE),NA())</f>
        <v>40.5</v>
      </c>
      <c r="AK32" t="e">
        <f ca="1">IF(VLOOKUP(Tabell1345[[#This Row],[Nr]],$BV$3:$CB$11,2,TRUE)=3,VLOOKUP(Tabell1345[[#This Row],[Nr]],$BV$3:$CB$11,5,TRUE),NA())</f>
        <v>#N/A</v>
      </c>
      <c r="AL32" t="e">
        <f ca="1">IF(VLOOKUP(Tabell1345[[#This Row],[Nr]],$BV$3:$CB$11,2,TRUE)=4,VLOOKUP(Tabell1345[[#This Row],[Nr]],$BV$3:$CB$11,5,TRUE),NA())</f>
        <v>#N/A</v>
      </c>
      <c r="AM32" t="e">
        <f ca="1">IF(VLOOKUP(Tabell1345[[#This Row],[Nr]],$BV$3:$CB$11,2,TRUE)=5,VLOOKUP(Tabell1345[[#This Row],[Nr]],$BV$3:$CB$11,5,TRUE),NA())</f>
        <v>#N/A</v>
      </c>
      <c r="AN32" t="e">
        <f ca="1">IF(VLOOKUP(Tabell1345[[#This Row],[Nr]],$BV$3:$CB$11,2,TRUE)=6,VLOOKUP(Tabell1345[[#This Row],[Nr]],$BV$3:$CB$11,5,TRUE),NA())</f>
        <v>#N/A</v>
      </c>
      <c r="AO32" t="e">
        <f ca="1">IF(VLOOKUP(Tabell1345[[#This Row],[Nr]],$BV$3:$CB$11,2,TRUE)=7,VLOOKUP(Tabell1345[[#This Row],[Nr]],$BV$3:$CB$11,5,TRUE),NA())</f>
        <v>#N/A</v>
      </c>
      <c r="AP32" t="e">
        <f ca="1">IF(VLOOKUP(Tabell1345[[#This Row],[Nr]],$BV$3:$CB$11,2,TRUE)=1,Tabell1345[[#This Row],[Verdi_korrigert_IT]],NA())</f>
        <v>#N/A</v>
      </c>
      <c r="AQ32">
        <f ca="1">IF(VLOOKUP(Tabell1345[[#This Row],[Nr]],$BV$3:$CB$11,2,TRUE)=2,Tabell1345[[#This Row],[Verdi_korrigert_IT]],NA())</f>
        <v>37</v>
      </c>
      <c r="AR32" t="e">
        <f ca="1">IF(VLOOKUP(Tabell1345[[#This Row],[Nr]],$BV$3:$CB$11,2,TRUE)=3,Tabell1345[[#This Row],[Verdi_korrigert_IT]],NA())</f>
        <v>#N/A</v>
      </c>
      <c r="AS32" t="e">
        <f ca="1">IF(VLOOKUP(Tabell1345[[#This Row],[Nr]],$BV$3:$CB$11,2,TRUE)=4,Tabell1345[[#This Row],[Verdi_korrigert_IT]],NA())</f>
        <v>#N/A</v>
      </c>
      <c r="AT32" t="e">
        <f ca="1">IF(VLOOKUP(Tabell1345[[#This Row],[Nr]],$BV$3:$CB$11,2,TRUE)=5,Tabell1345[[#This Row],[Verdi_korrigert_IT]],NA())</f>
        <v>#N/A</v>
      </c>
      <c r="AU32" t="e">
        <f ca="1">IF(VLOOKUP(Tabell1345[[#This Row],[Nr]],$BV$3:$CB$11,2,TRUE)=6,Tabell1345[[#This Row],[Verdi_korrigert_IT]],NA())</f>
        <v>#N/A</v>
      </c>
      <c r="AV32" t="e">
        <f ca="1">IF(VLOOKUP(Tabell1345[[#This Row],[Nr]],$BV$3:$CB$11,2,TRUE)=7,Tabell1345[[#This Row],[Verdi_korrigert_IT]],NA())</f>
        <v>#N/A</v>
      </c>
      <c r="AW32">
        <f ca="1">IF(Tabell1345[[#This Row],[Brudd]]&lt;&gt;"*",IF(ISNUMBER(OFFSET(Tabell1345[[#This Row],[ser_indeks]],-1,0)),OFFSET(Tabell1345[[#This Row],[ser_indeks]],-1,0),0),0)+1</f>
        <v>5</v>
      </c>
      <c r="AX32">
        <f ca="1">VLOOKUP(Tabell1345[[#This Row],[Nr]],$BV$2:$BW$9,2,TRUE)</f>
        <v>2</v>
      </c>
      <c r="AY32">
        <f ca="1">IF(OFFSET(Tabell1345[[#This Row],[ser_indeks]],1,0)&lt;Tabell1345[[#This Row],[ser_indeks]],1,0)</f>
        <v>0</v>
      </c>
      <c r="AZ32">
        <f ca="1">IFERROR(VALUE(Tabell1345[[#This Row],[Verdi_korrigert_IT]]),OFFSET(Tabell1345[[#This Row],[verdi_korrigert]],-1,0))</f>
        <v>37</v>
      </c>
      <c r="BA32">
        <f ca="1">_xlfn.RANK.AVG(Tabell1345[[#This Row],[verdi_korrigert]],Tabell1345[verdi_korrigert],1)</f>
        <v>5.5</v>
      </c>
      <c r="BB32">
        <f ca="1">IF(Tabell1345[[#This Row],[rang]]=OFFSET(Tabell1345[[#This Row],[rang]],1,0),1,0)</f>
        <v>0</v>
      </c>
      <c r="BC32">
        <f ca="1">IF(AND(Tabell1345[[#This Row],[rang]]&gt;=OFFSET(Tabell1345[[#This Row],[rang]],-1,0),Tabell1345[[#This Row],[ser_indeks]]&gt;1),IFERROR(VALUE(OFFSET(Tabell1345[[#This Row],[rang_stig]],-1,0)),0)+1,VALUE($CH$3)-1)-Tabell1345[[#This Row],[rang_samme]]</f>
        <v>0</v>
      </c>
      <c r="BD32">
        <f ca="1">IF(AND(Tabell1345[[#This Row],[rang]]&lt;=OFFSET(Tabell1345[[#This Row],[rang]],-1,0),Tabell1345[[#This Row],[ser_indeks]]&gt;1),IFERROR(VALUE(OFFSET(Tabell1345[[#This Row],[rang_synk]],-1,0)),0)+1,VALUE($CH$3)-1)-Tabell1345[[#This Row],[rang_samme]]</f>
        <v>1</v>
      </c>
      <c r="BE32">
        <f ca="1">MAXA(Tabell1345[[#This Row],[rang_stig]:[rang_synk]])</f>
        <v>1</v>
      </c>
      <c r="BF32">
        <f ca="1">($CH$2-1)+_xlfn.AGGREGATE(9,6,Tabell1345[[#This Row],[rang_samme]]:OFFSET(Tabell1345[[#This Row],[rang_samme]],($CH$2-1),0))</f>
        <v>5</v>
      </c>
      <c r="BG32" t="e">
        <f ca="1">IF($G$9="ja",IF(MAXA(Tabell1345[[#This Row],[rang_stigsynk]]:INDIRECT(ADDRESS(ROW(Tabell1345[[#This Row],[rang_stigsynk]])+Tabell1345[[#This Row],[trend_omr]],COLUMN(Tabell1345[[#This Row],[rang_stigsynk]]))))&gt;($CH$2-2),Tabell1345[[#This Row],[Verdi_korrigert_IT]],NA()),NA())</f>
        <v>#N/A</v>
      </c>
      <c r="BH32" s="5">
        <f ca="1">IF(Tabell1345[[#This Row],[ser_indeks]]&gt;3,_xlfn.AGGREGATE(4,4,OFFSET(Tabell1345[[#This Row],[Verdi1]],-3,Tabell1345[[#This Row],[serie_nr]]-1):OFFSET(Tabell1345[[#This Row],[Verdi1]],4,Tabell1345[[#This Row],[serie_nr]]-1)),NA())</f>
        <v>100</v>
      </c>
      <c r="BI32" s="5">
        <f ca="1">IF(Tabell1345[[#This Row],[ser_indeks]]&gt;3,_xlfn.AGGREGATE(5,4,OFFSET(Tabell1345[[#This Row],[Verdi1]],-3,Tabell1345[[#This Row],[serie_nr]]-1):OFFSET(Tabell1345[[#This Row],[Verdi1]],4,Tabell1345[[#This Row],[serie_nr]]-1)),NA())</f>
        <v>36</v>
      </c>
      <c r="BJ32" s="5" t="e">
        <f ca="1">IF(_xlfn.AGGREGATE(4,6,Tabell1345[[#This Row],[til_brudd_rader]]:OFFSET(Tabell1345[[#This Row],[til_brudd_rader]],3,0))&gt;0,NA(),IF(Tabell1345[[#This Row],[skifte_lav1]]&lt;Tabell1345[[#This Row],[Snitt]],Tabell1345[[#This Row],[Verdi_korrigert_IT]],NA()))</f>
        <v>#N/A</v>
      </c>
      <c r="BK32" s="5" t="e">
        <f ca="1">IF(_xlfn.AGGREGATE(4,6,Tabell1345[[#This Row],[til_brudd_rader]]:OFFSET(Tabell1345[[#This Row],[til_brudd_rader]],3,0))&gt;0,NA(),IF(Tabell1345[[#This Row],[skifte_høy1]]&gt;Tabell1345[[#This Row],[Snitt]],Tabell1345[[#This Row],[Verdi_korrigert_IT]],NA()))</f>
        <v>#N/A</v>
      </c>
      <c r="BL32" t="e">
        <f ca="1">IF($G$9="ja",IFERROR(IF(_xlfn.AGGREGATE(4,6,OFFSET(Tabell1345[[#This Row],[skifte_lav2]],-4,0):OFFSET(Tabell1345[[#This Row],[skifte_lav2]],3,1))&gt;0,Tabell1345[[#This Row],[Verdi_korrigert_IT]],NA()),NA()),NA())</f>
        <v>#N/A</v>
      </c>
      <c r="BM32" t="e">
        <f ca="1">IF($G$9="ja",IF(OR(Tabell1345[[#This Row],[Verdi_korrigert_IT]]&gt;Tabell1345[[#This Row],[UCL]],Tabell1345[[#This Row],[Verdi_korrigert_IT]]&lt;Tabell1345[[#This Row],[LCL]]),Tabell1345[[#This Row],[Verdi_korrigert_IT]],NA()),NA())</f>
        <v>#N/A</v>
      </c>
      <c r="BN32">
        <f>IF(Tabell1345[[#This Row],[Brudd]]="x","",Tabell1345[[#This Row],[Verdi]])</f>
        <v>37</v>
      </c>
      <c r="BO32">
        <f>IF(Tabell1345[[#This Row],[Brudd]]="x",NA(),Tabell1345[[#This Row],[Verdi]])</f>
        <v>37</v>
      </c>
      <c r="BP32">
        <f ca="1">IF(ISERROR(Tabell1345[[#This Row],[Verdi_korrigert_IT]]),OFFSET(Tabell1345[[#This Row],[ForrigeGyldige]],-1,0),Tabell1345[[#This Row],[Verdi]])</f>
        <v>37</v>
      </c>
      <c r="BQ32">
        <f>Tabell1345[[#This Row],[Verdi]]</f>
        <v>37</v>
      </c>
    </row>
    <row r="33" spans="1:69" x14ac:dyDescent="0.35">
      <c r="A33">
        <f ca="1">IF(ISNUMBER(OFFSET(Tabell1345[[#This Row],[Nr]],-1,0)),OFFSET(Tabell1345[[#This Row],[Nr]],-1,0))+1</f>
        <v>19</v>
      </c>
      <c r="C33" s="36">
        <v>39</v>
      </c>
      <c r="H33" t="e">
        <f t="shared" si="6"/>
        <v>#N/A</v>
      </c>
      <c r="I33" t="b">
        <f>IF(OR(Tabell1345[[#This Row],[Brudd]]="*",ROW()-ROW(Tabell1345[#All])+1=ROWS(Tabell1345[#All])),ROW())</f>
        <v>0</v>
      </c>
      <c r="J33" s="2">
        <f ca="1">VLOOKUP(Tabell1345[[#This Row],[Nr]],$BV$2:$CB$11,4,TRUE)</f>
        <v>42.7</v>
      </c>
      <c r="K33" s="2">
        <f ca="1">VLOOKUP(Tabell1345[[#This Row],[Nr]],$BV$2:$CB$11,7,TRUE)</f>
        <v>-0.98000000000000398</v>
      </c>
      <c r="L33" s="2">
        <f ca="1">VLOOKUP(Tabell1345[[#This Row],[Nr]],$BV$2:$CB$11,6,TRUE)</f>
        <v>86.38000000000001</v>
      </c>
      <c r="M33">
        <f ca="1">IF(OR(Tabell1345[[#This Row],[Brudd]]="*",ISERROR(Tabell1345[[#This Row],[Verdi_korrigert_IT]])),"",IF(ISNUMBER(OFFSET(Tabell1345[[#This Row],[ForrigeGyldige]],-1,0)),ABS(Tabell1345[[#This Row],[Verdi_korrigert_IT]]-OFFSET(Tabell1345[[#This Row],[ForrigeGyldige]],-1,0)),""))</f>
        <v>2</v>
      </c>
      <c r="N33" t="e">
        <f ca="1">IF(VLOOKUP(Tabell1345[[#This Row],[Nr]],$BV$3:$CB$11,2,TRUE)=1,VLOOKUP(Tabell1345[[#This Row],[Nr]],$BV$3:$CB$11,4,TRUE),NA())</f>
        <v>#N/A</v>
      </c>
      <c r="O33">
        <f ca="1">IF(VLOOKUP(Tabell1345[[#This Row],[Nr]],$BV$3:$CB$11,2,TRUE)=2,VLOOKUP(Tabell1345[[#This Row],[Nr]],$BV$3:$CB$11,4,TRUE),NA())</f>
        <v>42.7</v>
      </c>
      <c r="P33" s="2" t="e">
        <f ca="1">IF(VLOOKUP(Tabell1345[[#This Row],[Nr]],$BV$3:$CB$11,2,TRUE)=3,VLOOKUP(Tabell1345[[#This Row],[Nr]],$BV$3:$CB$11,4,TRUE),NA())</f>
        <v>#N/A</v>
      </c>
      <c r="Q33" t="e">
        <f ca="1">IF(VLOOKUP(Tabell1345[[#This Row],[Nr]],$BV$3:$CB$11,2,TRUE)=4,VLOOKUP(Tabell1345[[#This Row],[Nr]],$BV$3:$CB$11,4,TRUE),NA())</f>
        <v>#N/A</v>
      </c>
      <c r="R33" t="e">
        <f ca="1">IF(VLOOKUP(Tabell1345[[#This Row],[Nr]],$BV$3:$CB$11,2,TRUE)=5,VLOOKUP(Tabell1345[[#This Row],[Nr]],$BV$3:$CB$11,4,TRUE),NA())</f>
        <v>#N/A</v>
      </c>
      <c r="S33" t="e">
        <f ca="1">IF(VLOOKUP(Tabell1345[[#This Row],[Nr]],$BV$3:$CB$11,2,TRUE)=6,VLOOKUP(Tabell1345[[#This Row],[Nr]],$BV$3:$CB$11,4,TRUE),NA())</f>
        <v>#N/A</v>
      </c>
      <c r="T33" t="e">
        <f ca="1">IF(VLOOKUP(Tabell1345[[#This Row],[Nr]],$BV$3:$CB$11,2,TRUE)=7,VLOOKUP(Tabell1345[[#This Row],[Nr]],$BV$3:$CB$11,4,TRUE),NA())</f>
        <v>#N/A</v>
      </c>
      <c r="U33" t="e">
        <f ca="1">IF(VLOOKUP(Tabell1345[[#This Row],[Nr]],$BV$3:$CB$11,2,TRUE)=1,VLOOKUP(Tabell1345[[#This Row],[Nr]],$BV$3:$CB$11,6,TRUE),NA())</f>
        <v>#N/A</v>
      </c>
      <c r="V33">
        <f ca="1">IF(VLOOKUP(Tabell1345[[#This Row],[Nr]],$BV$3:$CB$11,2,TRUE)=2,VLOOKUP(Tabell1345[[#This Row],[Nr]],$BV$3:$CB$11,6,TRUE),NA())</f>
        <v>86.38000000000001</v>
      </c>
      <c r="W33" t="e">
        <f ca="1">IF(VLOOKUP(Tabell1345[[#This Row],[Nr]],$BV$3:$CB$11,2,TRUE)=3,VLOOKUP(Tabell1345[[#This Row],[Nr]],$BV$3:$CB$11,6,TRUE),NA())</f>
        <v>#N/A</v>
      </c>
      <c r="X33" t="e">
        <f ca="1">IF(VLOOKUP(Tabell1345[[#This Row],[Nr]],$BV$3:$CB$11,2,TRUE)=4,VLOOKUP(Tabell1345[[#This Row],[Nr]],$BV$3:$CB$11,6,TRUE),NA())</f>
        <v>#N/A</v>
      </c>
      <c r="Y33" t="e">
        <f ca="1">IF(VLOOKUP(Tabell1345[[#This Row],[Nr]],$BV$3:$CB$11,2,TRUE)=5,VLOOKUP(Tabell1345[[#This Row],[Nr]],$BV$3:$CB$11,6,TRUE),NA())</f>
        <v>#N/A</v>
      </c>
      <c r="Z33" t="e">
        <f ca="1">IF(VLOOKUP(Tabell1345[[#This Row],[Nr]],$BV$3:$CB$11,2,TRUE)=6,VLOOKUP(Tabell1345[[#This Row],[Nr]],$BV$3:$CB$11,6,TRUE),NA())</f>
        <v>#N/A</v>
      </c>
      <c r="AA33" t="e">
        <f ca="1">IF(VLOOKUP(Tabell1345[[#This Row],[Nr]],$BV$3:$CB$11,2,TRUE)=7,VLOOKUP(Tabell1345[[#This Row],[Nr]],$BV$3:$CB$11,6,TRUE),NA())</f>
        <v>#N/A</v>
      </c>
      <c r="AB33" t="e">
        <f ca="1">IF(VLOOKUP(Tabell1345[[#This Row],[Nr]],$BV$3:$CB$11,2,TRUE)=1,VLOOKUP(Tabell1345[[#This Row],[Nr]],$BV$3:$CB$11,7,TRUE),NA())</f>
        <v>#N/A</v>
      </c>
      <c r="AC33">
        <f ca="1">IF(VLOOKUP(Tabell1345[[#This Row],[Nr]],$BV$3:$CB$11,2,TRUE)=2,VLOOKUP(Tabell1345[[#This Row],[Nr]],$BV$3:$CB$11,7,TRUE),NA())</f>
        <v>-0.98000000000000398</v>
      </c>
      <c r="AD33" t="e">
        <f ca="1">IF(VLOOKUP(Tabell1345[[#This Row],[Nr]],$BV$3:$CB$11,2,TRUE)=3,VLOOKUP(Tabell1345[[#This Row],[Nr]],$BV$3:$CB$11,7,TRUE),NA())</f>
        <v>#N/A</v>
      </c>
      <c r="AE33" t="e">
        <f ca="1">IF(VLOOKUP(Tabell1345[[#This Row],[Nr]],$BV$3:$CB$11,2,TRUE)=4,VLOOKUP(Tabell1345[[#This Row],[Nr]],$BV$3:$CB$11,7,TRUE),NA())</f>
        <v>#N/A</v>
      </c>
      <c r="AF33" t="e">
        <f ca="1">IF(VLOOKUP(Tabell1345[[#This Row],[Nr]],$BV$3:$CB$11,2,TRUE)=5,VLOOKUP(Tabell1345[[#This Row],[Nr]],$BV$3:$CB$11,7,TRUE),NA())</f>
        <v>#N/A</v>
      </c>
      <c r="AG33" t="e">
        <f ca="1">IF(VLOOKUP(Tabell1345[[#This Row],[Nr]],$BV$3:$CB$11,2,TRUE)=6,VLOOKUP(Tabell1345[[#This Row],[Nr]],$BV$3:$CB$11,7,TRUE),NA())</f>
        <v>#N/A</v>
      </c>
      <c r="AH33" t="e">
        <f ca="1">IF(VLOOKUP(Tabell1345[[#This Row],[Nr]],$BV$3:$CB$11,2,TRUE)=7,VLOOKUP(Tabell1345[[#This Row],[Nr]],$BV$3:$CB$11,7,TRUE),NA())</f>
        <v>#N/A</v>
      </c>
      <c r="AI33" t="e">
        <f ca="1">IF(VLOOKUP(Tabell1345[[#This Row],[Nr]],$BV$3:$CB$11,2,TRUE)=1,VLOOKUP(Tabell1345[[#This Row],[Nr]],$BV$3:$CB$11,5,TRUE),NA())</f>
        <v>#N/A</v>
      </c>
      <c r="AJ33">
        <f ca="1">IF(VLOOKUP(Tabell1345[[#This Row],[Nr]],$BV$3:$CB$11,2,TRUE)=2,VLOOKUP(Tabell1345[[#This Row],[Nr]],$BV$3:$CB$11,5,TRUE),NA())</f>
        <v>40.5</v>
      </c>
      <c r="AK33" t="e">
        <f ca="1">IF(VLOOKUP(Tabell1345[[#This Row],[Nr]],$BV$3:$CB$11,2,TRUE)=3,VLOOKUP(Tabell1345[[#This Row],[Nr]],$BV$3:$CB$11,5,TRUE),NA())</f>
        <v>#N/A</v>
      </c>
      <c r="AL33" t="e">
        <f ca="1">IF(VLOOKUP(Tabell1345[[#This Row],[Nr]],$BV$3:$CB$11,2,TRUE)=4,VLOOKUP(Tabell1345[[#This Row],[Nr]],$BV$3:$CB$11,5,TRUE),NA())</f>
        <v>#N/A</v>
      </c>
      <c r="AM33" t="e">
        <f ca="1">IF(VLOOKUP(Tabell1345[[#This Row],[Nr]],$BV$3:$CB$11,2,TRUE)=5,VLOOKUP(Tabell1345[[#This Row],[Nr]],$BV$3:$CB$11,5,TRUE),NA())</f>
        <v>#N/A</v>
      </c>
      <c r="AN33" t="e">
        <f ca="1">IF(VLOOKUP(Tabell1345[[#This Row],[Nr]],$BV$3:$CB$11,2,TRUE)=6,VLOOKUP(Tabell1345[[#This Row],[Nr]],$BV$3:$CB$11,5,TRUE),NA())</f>
        <v>#N/A</v>
      </c>
      <c r="AO33" t="e">
        <f ca="1">IF(VLOOKUP(Tabell1345[[#This Row],[Nr]],$BV$3:$CB$11,2,TRUE)=7,VLOOKUP(Tabell1345[[#This Row],[Nr]],$BV$3:$CB$11,5,TRUE),NA())</f>
        <v>#N/A</v>
      </c>
      <c r="AP33" t="e">
        <f ca="1">IF(VLOOKUP(Tabell1345[[#This Row],[Nr]],$BV$3:$CB$11,2,TRUE)=1,Tabell1345[[#This Row],[Verdi_korrigert_IT]],NA())</f>
        <v>#N/A</v>
      </c>
      <c r="AQ33">
        <f ca="1">IF(VLOOKUP(Tabell1345[[#This Row],[Nr]],$BV$3:$CB$11,2,TRUE)=2,Tabell1345[[#This Row],[Verdi_korrigert_IT]],NA())</f>
        <v>39</v>
      </c>
      <c r="AR33" t="e">
        <f ca="1">IF(VLOOKUP(Tabell1345[[#This Row],[Nr]],$BV$3:$CB$11,2,TRUE)=3,Tabell1345[[#This Row],[Verdi_korrigert_IT]],NA())</f>
        <v>#N/A</v>
      </c>
      <c r="AS33" t="e">
        <f ca="1">IF(VLOOKUP(Tabell1345[[#This Row],[Nr]],$BV$3:$CB$11,2,TRUE)=4,Tabell1345[[#This Row],[Verdi_korrigert_IT]],NA())</f>
        <v>#N/A</v>
      </c>
      <c r="AT33" t="e">
        <f ca="1">IF(VLOOKUP(Tabell1345[[#This Row],[Nr]],$BV$3:$CB$11,2,TRUE)=5,Tabell1345[[#This Row],[Verdi_korrigert_IT]],NA())</f>
        <v>#N/A</v>
      </c>
      <c r="AU33" t="e">
        <f ca="1">IF(VLOOKUP(Tabell1345[[#This Row],[Nr]],$BV$3:$CB$11,2,TRUE)=6,Tabell1345[[#This Row],[Verdi_korrigert_IT]],NA())</f>
        <v>#N/A</v>
      </c>
      <c r="AV33" t="e">
        <f ca="1">IF(VLOOKUP(Tabell1345[[#This Row],[Nr]],$BV$3:$CB$11,2,TRUE)=7,Tabell1345[[#This Row],[Verdi_korrigert_IT]],NA())</f>
        <v>#N/A</v>
      </c>
      <c r="AW33">
        <f ca="1">IF(Tabell1345[[#This Row],[Brudd]]&lt;&gt;"*",IF(ISNUMBER(OFFSET(Tabell1345[[#This Row],[ser_indeks]],-1,0)),OFFSET(Tabell1345[[#This Row],[ser_indeks]],-1,0),0),0)+1</f>
        <v>6</v>
      </c>
      <c r="AX33">
        <f ca="1">VLOOKUP(Tabell1345[[#This Row],[Nr]],$BV$2:$BW$9,2,TRUE)</f>
        <v>2</v>
      </c>
      <c r="AY33">
        <f ca="1">IF(OFFSET(Tabell1345[[#This Row],[ser_indeks]],1,0)&lt;Tabell1345[[#This Row],[ser_indeks]],1,0)</f>
        <v>0</v>
      </c>
      <c r="AZ33">
        <f ca="1">IFERROR(VALUE(Tabell1345[[#This Row],[Verdi_korrigert_IT]]),OFFSET(Tabell1345[[#This Row],[verdi_korrigert]],-1,0))</f>
        <v>39</v>
      </c>
      <c r="BA33">
        <f ca="1">_xlfn.RANK.AVG(Tabell1345[[#This Row],[verdi_korrigert]],Tabell1345[verdi_korrigert],1)</f>
        <v>9.5</v>
      </c>
      <c r="BB33">
        <f ca="1">IF(Tabell1345[[#This Row],[rang]]=OFFSET(Tabell1345[[#This Row],[rang]],1,0),1,0)</f>
        <v>0</v>
      </c>
      <c r="BC33">
        <f ca="1">IF(AND(Tabell1345[[#This Row],[rang]]&gt;=OFFSET(Tabell1345[[#This Row],[rang]],-1,0),Tabell1345[[#This Row],[ser_indeks]]&gt;1),IFERROR(VALUE(OFFSET(Tabell1345[[#This Row],[rang_stig]],-1,0)),0)+1,VALUE($CH$3)-1)-Tabell1345[[#This Row],[rang_samme]]</f>
        <v>1</v>
      </c>
      <c r="BD33">
        <f ca="1">IF(AND(Tabell1345[[#This Row],[rang]]&lt;=OFFSET(Tabell1345[[#This Row],[rang]],-1,0),Tabell1345[[#This Row],[ser_indeks]]&gt;1),IFERROR(VALUE(OFFSET(Tabell1345[[#This Row],[rang_synk]],-1,0)),0)+1,VALUE($CH$3)-1)-Tabell1345[[#This Row],[rang_samme]]</f>
        <v>0</v>
      </c>
      <c r="BE33">
        <f ca="1">MAXA(Tabell1345[[#This Row],[rang_stig]:[rang_synk]])</f>
        <v>1</v>
      </c>
      <c r="BF33">
        <f ca="1">($CH$2-1)+_xlfn.AGGREGATE(9,6,Tabell1345[[#This Row],[rang_samme]]:OFFSET(Tabell1345[[#This Row],[rang_samme]],($CH$2-1),0))</f>
        <v>5</v>
      </c>
      <c r="BG33" t="e">
        <f ca="1">IF($G$9="ja",IF(MAXA(Tabell1345[[#This Row],[rang_stigsynk]]:INDIRECT(ADDRESS(ROW(Tabell1345[[#This Row],[rang_stigsynk]])+Tabell1345[[#This Row],[trend_omr]],COLUMN(Tabell1345[[#This Row],[rang_stigsynk]]))))&gt;($CH$2-2),Tabell1345[[#This Row],[Verdi_korrigert_IT]],NA()),NA())</f>
        <v>#N/A</v>
      </c>
      <c r="BH33" s="5">
        <f ca="1">IF(Tabell1345[[#This Row],[ser_indeks]]&gt;3,_xlfn.AGGREGATE(4,4,OFFSET(Tabell1345[[#This Row],[Verdi1]],-3,Tabell1345[[#This Row],[serie_nr]]-1):OFFSET(Tabell1345[[#This Row],[Verdi1]],4,Tabell1345[[#This Row],[serie_nr]]-1)),NA())</f>
        <v>100</v>
      </c>
      <c r="BI33" s="5">
        <f ca="1">IF(Tabell1345[[#This Row],[ser_indeks]]&gt;3,_xlfn.AGGREGATE(5,4,OFFSET(Tabell1345[[#This Row],[Verdi1]],-3,Tabell1345[[#This Row],[serie_nr]]-1):OFFSET(Tabell1345[[#This Row],[Verdi1]],4,Tabell1345[[#This Row],[serie_nr]]-1)),NA())</f>
        <v>36</v>
      </c>
      <c r="BJ33" s="5" t="e">
        <f ca="1">IF(_xlfn.AGGREGATE(4,6,Tabell1345[[#This Row],[til_brudd_rader]]:OFFSET(Tabell1345[[#This Row],[til_brudd_rader]],3,0))&gt;0,NA(),IF(Tabell1345[[#This Row],[skifte_lav1]]&lt;Tabell1345[[#This Row],[Snitt]],Tabell1345[[#This Row],[Verdi_korrigert_IT]],NA()))</f>
        <v>#N/A</v>
      </c>
      <c r="BK33" s="5" t="e">
        <f ca="1">IF(_xlfn.AGGREGATE(4,6,Tabell1345[[#This Row],[til_brudd_rader]]:OFFSET(Tabell1345[[#This Row],[til_brudd_rader]],3,0))&gt;0,NA(),IF(Tabell1345[[#This Row],[skifte_høy1]]&gt;Tabell1345[[#This Row],[Snitt]],Tabell1345[[#This Row],[Verdi_korrigert_IT]],NA()))</f>
        <v>#N/A</v>
      </c>
      <c r="BL33" t="e">
        <f ca="1">IF($G$9="ja",IFERROR(IF(_xlfn.AGGREGATE(4,6,OFFSET(Tabell1345[[#This Row],[skifte_lav2]],-4,0):OFFSET(Tabell1345[[#This Row],[skifte_lav2]],3,1))&gt;0,Tabell1345[[#This Row],[Verdi_korrigert_IT]],NA()),NA()),NA())</f>
        <v>#N/A</v>
      </c>
      <c r="BM33" t="e">
        <f ca="1">IF($G$9="ja",IF(OR(Tabell1345[[#This Row],[Verdi_korrigert_IT]]&gt;Tabell1345[[#This Row],[UCL]],Tabell1345[[#This Row],[Verdi_korrigert_IT]]&lt;Tabell1345[[#This Row],[LCL]]),Tabell1345[[#This Row],[Verdi_korrigert_IT]],NA()),NA())</f>
        <v>#N/A</v>
      </c>
      <c r="BN33">
        <f>IF(Tabell1345[[#This Row],[Brudd]]="x","",Tabell1345[[#This Row],[Verdi]])</f>
        <v>39</v>
      </c>
      <c r="BO33">
        <f>IF(Tabell1345[[#This Row],[Brudd]]="x",NA(),Tabell1345[[#This Row],[Verdi]])</f>
        <v>39</v>
      </c>
      <c r="BP33">
        <f ca="1">IF(ISERROR(Tabell1345[[#This Row],[Verdi_korrigert_IT]]),OFFSET(Tabell1345[[#This Row],[ForrigeGyldige]],-1,0),Tabell1345[[#This Row],[Verdi]])</f>
        <v>39</v>
      </c>
      <c r="BQ33">
        <f>Tabell1345[[#This Row],[Verdi]]</f>
        <v>39</v>
      </c>
    </row>
    <row r="34" spans="1:69" x14ac:dyDescent="0.35">
      <c r="A34">
        <f ca="1">IF(ISNUMBER(OFFSET(Tabell1345[[#This Row],[Nr]],-1,0)),OFFSET(Tabell1345[[#This Row],[Nr]],-1,0))+1</f>
        <v>20</v>
      </c>
      <c r="C34" s="36">
        <v>53</v>
      </c>
      <c r="H34" t="e">
        <f t="shared" ref="H34:H46" si="7">IF($B$6&lt;&gt;"",$B$6,NA())</f>
        <v>#N/A</v>
      </c>
      <c r="I34" t="b">
        <f>IF(OR(Tabell1345[[#This Row],[Brudd]]="*",ROW()-ROW(Tabell1345[#All])+1=ROWS(Tabell1345[#All])),ROW())</f>
        <v>0</v>
      </c>
      <c r="J34" s="2">
        <f ca="1">VLOOKUP(Tabell1345[[#This Row],[Nr]],$BV$2:$CB$11,4,TRUE)</f>
        <v>42.7</v>
      </c>
      <c r="K34" s="2">
        <f ca="1">VLOOKUP(Tabell1345[[#This Row],[Nr]],$BV$2:$CB$11,7,TRUE)</f>
        <v>-0.98000000000000398</v>
      </c>
      <c r="L34" s="2">
        <f ca="1">VLOOKUP(Tabell1345[[#This Row],[Nr]],$BV$2:$CB$11,6,TRUE)</f>
        <v>86.38000000000001</v>
      </c>
      <c r="M34">
        <f ca="1">IF(OR(Tabell1345[[#This Row],[Brudd]]="*",ISERROR(Tabell1345[[#This Row],[Verdi_korrigert_IT]])),"",IF(ISNUMBER(OFFSET(Tabell1345[[#This Row],[ForrigeGyldige]],-1,0)),ABS(Tabell1345[[#This Row],[Verdi_korrigert_IT]]-OFFSET(Tabell1345[[#This Row],[ForrigeGyldige]],-1,0)),""))</f>
        <v>14</v>
      </c>
      <c r="N34" t="e">
        <f ca="1">IF(VLOOKUP(Tabell1345[[#This Row],[Nr]],$BV$3:$CB$11,2,TRUE)=1,VLOOKUP(Tabell1345[[#This Row],[Nr]],$BV$3:$CB$11,4,TRUE),NA())</f>
        <v>#N/A</v>
      </c>
      <c r="O34">
        <f ca="1">IF(VLOOKUP(Tabell1345[[#This Row],[Nr]],$BV$3:$CB$11,2,TRUE)=2,VLOOKUP(Tabell1345[[#This Row],[Nr]],$BV$3:$CB$11,4,TRUE),NA())</f>
        <v>42.7</v>
      </c>
      <c r="P34" s="2" t="e">
        <f ca="1">IF(VLOOKUP(Tabell1345[[#This Row],[Nr]],$BV$3:$CB$11,2,TRUE)=3,VLOOKUP(Tabell1345[[#This Row],[Nr]],$BV$3:$CB$11,4,TRUE),NA())</f>
        <v>#N/A</v>
      </c>
      <c r="Q34" t="e">
        <f ca="1">IF(VLOOKUP(Tabell1345[[#This Row],[Nr]],$BV$3:$CB$11,2,TRUE)=4,VLOOKUP(Tabell1345[[#This Row],[Nr]],$BV$3:$CB$11,4,TRUE),NA())</f>
        <v>#N/A</v>
      </c>
      <c r="R34" t="e">
        <f ca="1">IF(VLOOKUP(Tabell1345[[#This Row],[Nr]],$BV$3:$CB$11,2,TRUE)=5,VLOOKUP(Tabell1345[[#This Row],[Nr]],$BV$3:$CB$11,4,TRUE),NA())</f>
        <v>#N/A</v>
      </c>
      <c r="S34" t="e">
        <f ca="1">IF(VLOOKUP(Tabell1345[[#This Row],[Nr]],$BV$3:$CB$11,2,TRUE)=6,VLOOKUP(Tabell1345[[#This Row],[Nr]],$BV$3:$CB$11,4,TRUE),NA())</f>
        <v>#N/A</v>
      </c>
      <c r="T34" t="e">
        <f ca="1">IF(VLOOKUP(Tabell1345[[#This Row],[Nr]],$BV$3:$CB$11,2,TRUE)=7,VLOOKUP(Tabell1345[[#This Row],[Nr]],$BV$3:$CB$11,4,TRUE),NA())</f>
        <v>#N/A</v>
      </c>
      <c r="U34" t="e">
        <f ca="1">IF(VLOOKUP(Tabell1345[[#This Row],[Nr]],$BV$3:$CB$11,2,TRUE)=1,VLOOKUP(Tabell1345[[#This Row],[Nr]],$BV$3:$CB$11,6,TRUE),NA())</f>
        <v>#N/A</v>
      </c>
      <c r="V34">
        <f ca="1">IF(VLOOKUP(Tabell1345[[#This Row],[Nr]],$BV$3:$CB$11,2,TRUE)=2,VLOOKUP(Tabell1345[[#This Row],[Nr]],$BV$3:$CB$11,6,TRUE),NA())</f>
        <v>86.38000000000001</v>
      </c>
      <c r="W34" t="e">
        <f ca="1">IF(VLOOKUP(Tabell1345[[#This Row],[Nr]],$BV$3:$CB$11,2,TRUE)=3,VLOOKUP(Tabell1345[[#This Row],[Nr]],$BV$3:$CB$11,6,TRUE),NA())</f>
        <v>#N/A</v>
      </c>
      <c r="X34" t="e">
        <f ca="1">IF(VLOOKUP(Tabell1345[[#This Row],[Nr]],$BV$3:$CB$11,2,TRUE)=4,VLOOKUP(Tabell1345[[#This Row],[Nr]],$BV$3:$CB$11,6,TRUE),NA())</f>
        <v>#N/A</v>
      </c>
      <c r="Y34" t="e">
        <f ca="1">IF(VLOOKUP(Tabell1345[[#This Row],[Nr]],$BV$3:$CB$11,2,TRUE)=5,VLOOKUP(Tabell1345[[#This Row],[Nr]],$BV$3:$CB$11,6,TRUE),NA())</f>
        <v>#N/A</v>
      </c>
      <c r="Z34" t="e">
        <f ca="1">IF(VLOOKUP(Tabell1345[[#This Row],[Nr]],$BV$3:$CB$11,2,TRUE)=6,VLOOKUP(Tabell1345[[#This Row],[Nr]],$BV$3:$CB$11,6,TRUE),NA())</f>
        <v>#N/A</v>
      </c>
      <c r="AA34" t="e">
        <f ca="1">IF(VLOOKUP(Tabell1345[[#This Row],[Nr]],$BV$3:$CB$11,2,TRUE)=7,VLOOKUP(Tabell1345[[#This Row],[Nr]],$BV$3:$CB$11,6,TRUE),NA())</f>
        <v>#N/A</v>
      </c>
      <c r="AB34" t="e">
        <f ca="1">IF(VLOOKUP(Tabell1345[[#This Row],[Nr]],$BV$3:$CB$11,2,TRUE)=1,VLOOKUP(Tabell1345[[#This Row],[Nr]],$BV$3:$CB$11,7,TRUE),NA())</f>
        <v>#N/A</v>
      </c>
      <c r="AC34">
        <f ca="1">IF(VLOOKUP(Tabell1345[[#This Row],[Nr]],$BV$3:$CB$11,2,TRUE)=2,VLOOKUP(Tabell1345[[#This Row],[Nr]],$BV$3:$CB$11,7,TRUE),NA())</f>
        <v>-0.98000000000000398</v>
      </c>
      <c r="AD34" t="e">
        <f ca="1">IF(VLOOKUP(Tabell1345[[#This Row],[Nr]],$BV$3:$CB$11,2,TRUE)=3,VLOOKUP(Tabell1345[[#This Row],[Nr]],$BV$3:$CB$11,7,TRUE),NA())</f>
        <v>#N/A</v>
      </c>
      <c r="AE34" t="e">
        <f ca="1">IF(VLOOKUP(Tabell1345[[#This Row],[Nr]],$BV$3:$CB$11,2,TRUE)=4,VLOOKUP(Tabell1345[[#This Row],[Nr]],$BV$3:$CB$11,7,TRUE),NA())</f>
        <v>#N/A</v>
      </c>
      <c r="AF34" t="e">
        <f ca="1">IF(VLOOKUP(Tabell1345[[#This Row],[Nr]],$BV$3:$CB$11,2,TRUE)=5,VLOOKUP(Tabell1345[[#This Row],[Nr]],$BV$3:$CB$11,7,TRUE),NA())</f>
        <v>#N/A</v>
      </c>
      <c r="AG34" t="e">
        <f ca="1">IF(VLOOKUP(Tabell1345[[#This Row],[Nr]],$BV$3:$CB$11,2,TRUE)=6,VLOOKUP(Tabell1345[[#This Row],[Nr]],$BV$3:$CB$11,7,TRUE),NA())</f>
        <v>#N/A</v>
      </c>
      <c r="AH34" t="e">
        <f ca="1">IF(VLOOKUP(Tabell1345[[#This Row],[Nr]],$BV$3:$CB$11,2,TRUE)=7,VLOOKUP(Tabell1345[[#This Row],[Nr]],$BV$3:$CB$11,7,TRUE),NA())</f>
        <v>#N/A</v>
      </c>
      <c r="AI34" t="e">
        <f ca="1">IF(VLOOKUP(Tabell1345[[#This Row],[Nr]],$BV$3:$CB$11,2,TRUE)=1,VLOOKUP(Tabell1345[[#This Row],[Nr]],$BV$3:$CB$11,5,TRUE),NA())</f>
        <v>#N/A</v>
      </c>
      <c r="AJ34">
        <f ca="1">IF(VLOOKUP(Tabell1345[[#This Row],[Nr]],$BV$3:$CB$11,2,TRUE)=2,VLOOKUP(Tabell1345[[#This Row],[Nr]],$BV$3:$CB$11,5,TRUE),NA())</f>
        <v>40.5</v>
      </c>
      <c r="AK34" t="e">
        <f ca="1">IF(VLOOKUP(Tabell1345[[#This Row],[Nr]],$BV$3:$CB$11,2,TRUE)=3,VLOOKUP(Tabell1345[[#This Row],[Nr]],$BV$3:$CB$11,5,TRUE),NA())</f>
        <v>#N/A</v>
      </c>
      <c r="AL34" t="e">
        <f ca="1">IF(VLOOKUP(Tabell1345[[#This Row],[Nr]],$BV$3:$CB$11,2,TRUE)=4,VLOOKUP(Tabell1345[[#This Row],[Nr]],$BV$3:$CB$11,5,TRUE),NA())</f>
        <v>#N/A</v>
      </c>
      <c r="AM34" t="e">
        <f ca="1">IF(VLOOKUP(Tabell1345[[#This Row],[Nr]],$BV$3:$CB$11,2,TRUE)=5,VLOOKUP(Tabell1345[[#This Row],[Nr]],$BV$3:$CB$11,5,TRUE),NA())</f>
        <v>#N/A</v>
      </c>
      <c r="AN34" t="e">
        <f ca="1">IF(VLOOKUP(Tabell1345[[#This Row],[Nr]],$BV$3:$CB$11,2,TRUE)=6,VLOOKUP(Tabell1345[[#This Row],[Nr]],$BV$3:$CB$11,5,TRUE),NA())</f>
        <v>#N/A</v>
      </c>
      <c r="AO34" t="e">
        <f ca="1">IF(VLOOKUP(Tabell1345[[#This Row],[Nr]],$BV$3:$CB$11,2,TRUE)=7,VLOOKUP(Tabell1345[[#This Row],[Nr]],$BV$3:$CB$11,5,TRUE),NA())</f>
        <v>#N/A</v>
      </c>
      <c r="AP34" t="e">
        <f ca="1">IF(VLOOKUP(Tabell1345[[#This Row],[Nr]],$BV$3:$CB$11,2,TRUE)=1,Tabell1345[[#This Row],[Verdi_korrigert_IT]],NA())</f>
        <v>#N/A</v>
      </c>
      <c r="AQ34">
        <f ca="1">IF(VLOOKUP(Tabell1345[[#This Row],[Nr]],$BV$3:$CB$11,2,TRUE)=2,Tabell1345[[#This Row],[Verdi_korrigert_IT]],NA())</f>
        <v>53</v>
      </c>
      <c r="AR34" t="e">
        <f ca="1">IF(VLOOKUP(Tabell1345[[#This Row],[Nr]],$BV$3:$CB$11,2,TRUE)=3,Tabell1345[[#This Row],[Verdi_korrigert_IT]],NA())</f>
        <v>#N/A</v>
      </c>
      <c r="AS34" t="e">
        <f ca="1">IF(VLOOKUP(Tabell1345[[#This Row],[Nr]],$BV$3:$CB$11,2,TRUE)=4,Tabell1345[[#This Row],[Verdi_korrigert_IT]],NA())</f>
        <v>#N/A</v>
      </c>
      <c r="AT34" t="e">
        <f ca="1">IF(VLOOKUP(Tabell1345[[#This Row],[Nr]],$BV$3:$CB$11,2,TRUE)=5,Tabell1345[[#This Row],[Verdi_korrigert_IT]],NA())</f>
        <v>#N/A</v>
      </c>
      <c r="AU34" t="e">
        <f ca="1">IF(VLOOKUP(Tabell1345[[#This Row],[Nr]],$BV$3:$CB$11,2,TRUE)=6,Tabell1345[[#This Row],[Verdi_korrigert_IT]],NA())</f>
        <v>#N/A</v>
      </c>
      <c r="AV34" t="e">
        <f ca="1">IF(VLOOKUP(Tabell1345[[#This Row],[Nr]],$BV$3:$CB$11,2,TRUE)=7,Tabell1345[[#This Row],[Verdi_korrigert_IT]],NA())</f>
        <v>#N/A</v>
      </c>
      <c r="AW34">
        <f ca="1">IF(Tabell1345[[#This Row],[Brudd]]&lt;&gt;"*",IF(ISNUMBER(OFFSET(Tabell1345[[#This Row],[ser_indeks]],-1,0)),OFFSET(Tabell1345[[#This Row],[ser_indeks]],-1,0),0),0)+1</f>
        <v>7</v>
      </c>
      <c r="AX34">
        <f ca="1">VLOOKUP(Tabell1345[[#This Row],[Nr]],$BV$2:$BW$9,2,TRUE)</f>
        <v>2</v>
      </c>
      <c r="AY34">
        <f ca="1">IF(OFFSET(Tabell1345[[#This Row],[ser_indeks]],1,0)&lt;Tabell1345[[#This Row],[ser_indeks]],1,0)</f>
        <v>0</v>
      </c>
      <c r="AZ34">
        <f ca="1">IFERROR(VALUE(Tabell1345[[#This Row],[Verdi_korrigert_IT]]),OFFSET(Tabell1345[[#This Row],[verdi_korrigert]],-1,0))</f>
        <v>53</v>
      </c>
      <c r="BA34">
        <f ca="1">_xlfn.RANK.AVG(Tabell1345[[#This Row],[verdi_korrigert]],Tabell1345[verdi_korrigert],1)</f>
        <v>25.5</v>
      </c>
      <c r="BB34">
        <f ca="1">IF(Tabell1345[[#This Row],[rang]]=OFFSET(Tabell1345[[#This Row],[rang]],1,0),1,0)</f>
        <v>0</v>
      </c>
      <c r="BC34">
        <f ca="1">IF(AND(Tabell1345[[#This Row],[rang]]&gt;=OFFSET(Tabell1345[[#This Row],[rang]],-1,0),Tabell1345[[#This Row],[ser_indeks]]&gt;1),IFERROR(VALUE(OFFSET(Tabell1345[[#This Row],[rang_stig]],-1,0)),0)+1,VALUE($CH$3)-1)-Tabell1345[[#This Row],[rang_samme]]</f>
        <v>2</v>
      </c>
      <c r="BD34">
        <f ca="1">IF(AND(Tabell1345[[#This Row],[rang]]&lt;=OFFSET(Tabell1345[[#This Row],[rang]],-1,0),Tabell1345[[#This Row],[ser_indeks]]&gt;1),IFERROR(VALUE(OFFSET(Tabell1345[[#This Row],[rang_synk]],-1,0)),0)+1,VALUE($CH$3)-1)-Tabell1345[[#This Row],[rang_samme]]</f>
        <v>0</v>
      </c>
      <c r="BE34">
        <f ca="1">MAXA(Tabell1345[[#This Row],[rang_stig]:[rang_synk]])</f>
        <v>2</v>
      </c>
      <c r="BF34">
        <f ca="1">($CH$2-1)+_xlfn.AGGREGATE(9,6,Tabell1345[[#This Row],[rang_samme]]:OFFSET(Tabell1345[[#This Row],[rang_samme]],($CH$2-1),0))</f>
        <v>5</v>
      </c>
      <c r="BG34" t="e">
        <f ca="1">IF($G$9="ja",IF(MAXA(Tabell1345[[#This Row],[rang_stigsynk]]:INDIRECT(ADDRESS(ROW(Tabell1345[[#This Row],[rang_stigsynk]])+Tabell1345[[#This Row],[trend_omr]],COLUMN(Tabell1345[[#This Row],[rang_stigsynk]]))))&gt;($CH$2-2),Tabell1345[[#This Row],[Verdi_korrigert_IT]],NA()),NA())</f>
        <v>#N/A</v>
      </c>
      <c r="BH34" s="5">
        <f ca="1">IF(Tabell1345[[#This Row],[ser_indeks]]&gt;3,_xlfn.AGGREGATE(4,4,OFFSET(Tabell1345[[#This Row],[Verdi1]],-3,Tabell1345[[#This Row],[serie_nr]]-1):OFFSET(Tabell1345[[#This Row],[Verdi1]],4,Tabell1345[[#This Row],[serie_nr]]-1)),NA())</f>
        <v>100</v>
      </c>
      <c r="BI34" s="5">
        <f ca="1">IF(Tabell1345[[#This Row],[ser_indeks]]&gt;3,_xlfn.AGGREGATE(5,4,OFFSET(Tabell1345[[#This Row],[Verdi1]],-3,Tabell1345[[#This Row],[serie_nr]]-1):OFFSET(Tabell1345[[#This Row],[Verdi1]],4,Tabell1345[[#This Row],[serie_nr]]-1)),NA())</f>
        <v>4</v>
      </c>
      <c r="BJ34" s="5" t="e">
        <f ca="1">IF(_xlfn.AGGREGATE(4,6,Tabell1345[[#This Row],[til_brudd_rader]]:OFFSET(Tabell1345[[#This Row],[til_brudd_rader]],3,0))&gt;0,NA(),IF(Tabell1345[[#This Row],[skifte_lav1]]&lt;Tabell1345[[#This Row],[Snitt]],Tabell1345[[#This Row],[Verdi_korrigert_IT]],NA()))</f>
        <v>#N/A</v>
      </c>
      <c r="BK34" s="5" t="e">
        <f ca="1">IF(_xlfn.AGGREGATE(4,6,Tabell1345[[#This Row],[til_brudd_rader]]:OFFSET(Tabell1345[[#This Row],[til_brudd_rader]],3,0))&gt;0,NA(),IF(Tabell1345[[#This Row],[skifte_høy1]]&gt;Tabell1345[[#This Row],[Snitt]],Tabell1345[[#This Row],[Verdi_korrigert_IT]],NA()))</f>
        <v>#N/A</v>
      </c>
      <c r="BL34" t="e">
        <f ca="1">IF($G$9="ja",IFERROR(IF(_xlfn.AGGREGATE(4,6,OFFSET(Tabell1345[[#This Row],[skifte_lav2]],-4,0):OFFSET(Tabell1345[[#This Row],[skifte_lav2]],3,1))&gt;0,Tabell1345[[#This Row],[Verdi_korrigert_IT]],NA()),NA()),NA())</f>
        <v>#N/A</v>
      </c>
      <c r="BM34" t="e">
        <f ca="1">IF($G$9="ja",IF(OR(Tabell1345[[#This Row],[Verdi_korrigert_IT]]&gt;Tabell1345[[#This Row],[UCL]],Tabell1345[[#This Row],[Verdi_korrigert_IT]]&lt;Tabell1345[[#This Row],[LCL]]),Tabell1345[[#This Row],[Verdi_korrigert_IT]],NA()),NA())</f>
        <v>#N/A</v>
      </c>
      <c r="BN34">
        <f>IF(Tabell1345[[#This Row],[Brudd]]="x","",Tabell1345[[#This Row],[Verdi]])</f>
        <v>53</v>
      </c>
      <c r="BO34">
        <f>IF(Tabell1345[[#This Row],[Brudd]]="x",NA(),Tabell1345[[#This Row],[Verdi]])</f>
        <v>53</v>
      </c>
      <c r="BP34">
        <f ca="1">IF(ISERROR(Tabell1345[[#This Row],[Verdi_korrigert_IT]]),OFFSET(Tabell1345[[#This Row],[ForrigeGyldige]],-1,0),Tabell1345[[#This Row],[Verdi]])</f>
        <v>53</v>
      </c>
      <c r="BQ34">
        <f>Tabell1345[[#This Row],[Verdi]]</f>
        <v>53</v>
      </c>
    </row>
    <row r="35" spans="1:69" x14ac:dyDescent="0.35">
      <c r="A35">
        <f ca="1">IF(ISNUMBER(OFFSET(Tabell1345[[#This Row],[Nr]],-1,0)),OFFSET(Tabell1345[[#This Row],[Nr]],-1,0))+1</f>
        <v>21</v>
      </c>
      <c r="C35" s="36">
        <v>44</v>
      </c>
      <c r="H35" t="e">
        <f t="shared" si="7"/>
        <v>#N/A</v>
      </c>
      <c r="I35" t="b">
        <f>IF(OR(Tabell1345[[#This Row],[Brudd]]="*",ROW()-ROW(Tabell1345[#All])+1=ROWS(Tabell1345[#All])),ROW())</f>
        <v>0</v>
      </c>
      <c r="J35" s="2">
        <f ca="1">VLOOKUP(Tabell1345[[#This Row],[Nr]],$BV$2:$CB$11,4,TRUE)</f>
        <v>42.7</v>
      </c>
      <c r="K35" s="2">
        <f ca="1">VLOOKUP(Tabell1345[[#This Row],[Nr]],$BV$2:$CB$11,7,TRUE)</f>
        <v>-0.98000000000000398</v>
      </c>
      <c r="L35" s="2">
        <f ca="1">VLOOKUP(Tabell1345[[#This Row],[Nr]],$BV$2:$CB$11,6,TRUE)</f>
        <v>86.38000000000001</v>
      </c>
      <c r="M35">
        <f ca="1">IF(OR(Tabell1345[[#This Row],[Brudd]]="*",ISERROR(Tabell1345[[#This Row],[Verdi_korrigert_IT]])),"",IF(ISNUMBER(OFFSET(Tabell1345[[#This Row],[ForrigeGyldige]],-1,0)),ABS(Tabell1345[[#This Row],[Verdi_korrigert_IT]]-OFFSET(Tabell1345[[#This Row],[ForrigeGyldige]],-1,0)),""))</f>
        <v>9</v>
      </c>
      <c r="N35" t="e">
        <f ca="1">IF(VLOOKUP(Tabell1345[[#This Row],[Nr]],$BV$3:$CB$11,2,TRUE)=1,VLOOKUP(Tabell1345[[#This Row],[Nr]],$BV$3:$CB$11,4,TRUE),NA())</f>
        <v>#N/A</v>
      </c>
      <c r="O35">
        <f ca="1">IF(VLOOKUP(Tabell1345[[#This Row],[Nr]],$BV$3:$CB$11,2,TRUE)=2,VLOOKUP(Tabell1345[[#This Row],[Nr]],$BV$3:$CB$11,4,TRUE),NA())</f>
        <v>42.7</v>
      </c>
      <c r="P35" s="2" t="e">
        <f ca="1">IF(VLOOKUP(Tabell1345[[#This Row],[Nr]],$BV$3:$CB$11,2,TRUE)=3,VLOOKUP(Tabell1345[[#This Row],[Nr]],$BV$3:$CB$11,4,TRUE),NA())</f>
        <v>#N/A</v>
      </c>
      <c r="Q35" t="e">
        <f ca="1">IF(VLOOKUP(Tabell1345[[#This Row],[Nr]],$BV$3:$CB$11,2,TRUE)=4,VLOOKUP(Tabell1345[[#This Row],[Nr]],$BV$3:$CB$11,4,TRUE),NA())</f>
        <v>#N/A</v>
      </c>
      <c r="R35" t="e">
        <f ca="1">IF(VLOOKUP(Tabell1345[[#This Row],[Nr]],$BV$3:$CB$11,2,TRUE)=5,VLOOKUP(Tabell1345[[#This Row],[Nr]],$BV$3:$CB$11,4,TRUE),NA())</f>
        <v>#N/A</v>
      </c>
      <c r="S35" t="e">
        <f ca="1">IF(VLOOKUP(Tabell1345[[#This Row],[Nr]],$BV$3:$CB$11,2,TRUE)=6,VLOOKUP(Tabell1345[[#This Row],[Nr]],$BV$3:$CB$11,4,TRUE),NA())</f>
        <v>#N/A</v>
      </c>
      <c r="T35" t="e">
        <f ca="1">IF(VLOOKUP(Tabell1345[[#This Row],[Nr]],$BV$3:$CB$11,2,TRUE)=7,VLOOKUP(Tabell1345[[#This Row],[Nr]],$BV$3:$CB$11,4,TRUE),NA())</f>
        <v>#N/A</v>
      </c>
      <c r="U35" t="e">
        <f ca="1">IF(VLOOKUP(Tabell1345[[#This Row],[Nr]],$BV$3:$CB$11,2,TRUE)=1,VLOOKUP(Tabell1345[[#This Row],[Nr]],$BV$3:$CB$11,6,TRUE),NA())</f>
        <v>#N/A</v>
      </c>
      <c r="V35">
        <f ca="1">IF(VLOOKUP(Tabell1345[[#This Row],[Nr]],$BV$3:$CB$11,2,TRUE)=2,VLOOKUP(Tabell1345[[#This Row],[Nr]],$BV$3:$CB$11,6,TRUE),NA())</f>
        <v>86.38000000000001</v>
      </c>
      <c r="W35" t="e">
        <f ca="1">IF(VLOOKUP(Tabell1345[[#This Row],[Nr]],$BV$3:$CB$11,2,TRUE)=3,VLOOKUP(Tabell1345[[#This Row],[Nr]],$BV$3:$CB$11,6,TRUE),NA())</f>
        <v>#N/A</v>
      </c>
      <c r="X35" t="e">
        <f ca="1">IF(VLOOKUP(Tabell1345[[#This Row],[Nr]],$BV$3:$CB$11,2,TRUE)=4,VLOOKUP(Tabell1345[[#This Row],[Nr]],$BV$3:$CB$11,6,TRUE),NA())</f>
        <v>#N/A</v>
      </c>
      <c r="Y35" t="e">
        <f ca="1">IF(VLOOKUP(Tabell1345[[#This Row],[Nr]],$BV$3:$CB$11,2,TRUE)=5,VLOOKUP(Tabell1345[[#This Row],[Nr]],$BV$3:$CB$11,6,TRUE),NA())</f>
        <v>#N/A</v>
      </c>
      <c r="Z35" t="e">
        <f ca="1">IF(VLOOKUP(Tabell1345[[#This Row],[Nr]],$BV$3:$CB$11,2,TRUE)=6,VLOOKUP(Tabell1345[[#This Row],[Nr]],$BV$3:$CB$11,6,TRUE),NA())</f>
        <v>#N/A</v>
      </c>
      <c r="AA35" t="e">
        <f ca="1">IF(VLOOKUP(Tabell1345[[#This Row],[Nr]],$BV$3:$CB$11,2,TRUE)=7,VLOOKUP(Tabell1345[[#This Row],[Nr]],$BV$3:$CB$11,6,TRUE),NA())</f>
        <v>#N/A</v>
      </c>
      <c r="AB35" t="e">
        <f ca="1">IF(VLOOKUP(Tabell1345[[#This Row],[Nr]],$BV$3:$CB$11,2,TRUE)=1,VLOOKUP(Tabell1345[[#This Row],[Nr]],$BV$3:$CB$11,7,TRUE),NA())</f>
        <v>#N/A</v>
      </c>
      <c r="AC35">
        <f ca="1">IF(VLOOKUP(Tabell1345[[#This Row],[Nr]],$BV$3:$CB$11,2,TRUE)=2,VLOOKUP(Tabell1345[[#This Row],[Nr]],$BV$3:$CB$11,7,TRUE),NA())</f>
        <v>-0.98000000000000398</v>
      </c>
      <c r="AD35" t="e">
        <f ca="1">IF(VLOOKUP(Tabell1345[[#This Row],[Nr]],$BV$3:$CB$11,2,TRUE)=3,VLOOKUP(Tabell1345[[#This Row],[Nr]],$BV$3:$CB$11,7,TRUE),NA())</f>
        <v>#N/A</v>
      </c>
      <c r="AE35" t="e">
        <f ca="1">IF(VLOOKUP(Tabell1345[[#This Row],[Nr]],$BV$3:$CB$11,2,TRUE)=4,VLOOKUP(Tabell1345[[#This Row],[Nr]],$BV$3:$CB$11,7,TRUE),NA())</f>
        <v>#N/A</v>
      </c>
      <c r="AF35" t="e">
        <f ca="1">IF(VLOOKUP(Tabell1345[[#This Row],[Nr]],$BV$3:$CB$11,2,TRUE)=5,VLOOKUP(Tabell1345[[#This Row],[Nr]],$BV$3:$CB$11,7,TRUE),NA())</f>
        <v>#N/A</v>
      </c>
      <c r="AG35" t="e">
        <f ca="1">IF(VLOOKUP(Tabell1345[[#This Row],[Nr]],$BV$3:$CB$11,2,TRUE)=6,VLOOKUP(Tabell1345[[#This Row],[Nr]],$BV$3:$CB$11,7,TRUE),NA())</f>
        <v>#N/A</v>
      </c>
      <c r="AH35" t="e">
        <f ca="1">IF(VLOOKUP(Tabell1345[[#This Row],[Nr]],$BV$3:$CB$11,2,TRUE)=7,VLOOKUP(Tabell1345[[#This Row],[Nr]],$BV$3:$CB$11,7,TRUE),NA())</f>
        <v>#N/A</v>
      </c>
      <c r="AI35" t="e">
        <f ca="1">IF(VLOOKUP(Tabell1345[[#This Row],[Nr]],$BV$3:$CB$11,2,TRUE)=1,VLOOKUP(Tabell1345[[#This Row],[Nr]],$BV$3:$CB$11,5,TRUE),NA())</f>
        <v>#N/A</v>
      </c>
      <c r="AJ35">
        <f ca="1">IF(VLOOKUP(Tabell1345[[#This Row],[Nr]],$BV$3:$CB$11,2,TRUE)=2,VLOOKUP(Tabell1345[[#This Row],[Nr]],$BV$3:$CB$11,5,TRUE),NA())</f>
        <v>40.5</v>
      </c>
      <c r="AK35" t="e">
        <f ca="1">IF(VLOOKUP(Tabell1345[[#This Row],[Nr]],$BV$3:$CB$11,2,TRUE)=3,VLOOKUP(Tabell1345[[#This Row],[Nr]],$BV$3:$CB$11,5,TRUE),NA())</f>
        <v>#N/A</v>
      </c>
      <c r="AL35" t="e">
        <f ca="1">IF(VLOOKUP(Tabell1345[[#This Row],[Nr]],$BV$3:$CB$11,2,TRUE)=4,VLOOKUP(Tabell1345[[#This Row],[Nr]],$BV$3:$CB$11,5,TRUE),NA())</f>
        <v>#N/A</v>
      </c>
      <c r="AM35" t="e">
        <f ca="1">IF(VLOOKUP(Tabell1345[[#This Row],[Nr]],$BV$3:$CB$11,2,TRUE)=5,VLOOKUP(Tabell1345[[#This Row],[Nr]],$BV$3:$CB$11,5,TRUE),NA())</f>
        <v>#N/A</v>
      </c>
      <c r="AN35" t="e">
        <f ca="1">IF(VLOOKUP(Tabell1345[[#This Row],[Nr]],$BV$3:$CB$11,2,TRUE)=6,VLOOKUP(Tabell1345[[#This Row],[Nr]],$BV$3:$CB$11,5,TRUE),NA())</f>
        <v>#N/A</v>
      </c>
      <c r="AO35" t="e">
        <f ca="1">IF(VLOOKUP(Tabell1345[[#This Row],[Nr]],$BV$3:$CB$11,2,TRUE)=7,VLOOKUP(Tabell1345[[#This Row],[Nr]],$BV$3:$CB$11,5,TRUE),NA())</f>
        <v>#N/A</v>
      </c>
      <c r="AP35" t="e">
        <f ca="1">IF(VLOOKUP(Tabell1345[[#This Row],[Nr]],$BV$3:$CB$11,2,TRUE)=1,Tabell1345[[#This Row],[Verdi_korrigert_IT]],NA())</f>
        <v>#N/A</v>
      </c>
      <c r="AQ35">
        <f ca="1">IF(VLOOKUP(Tabell1345[[#This Row],[Nr]],$BV$3:$CB$11,2,TRUE)=2,Tabell1345[[#This Row],[Verdi_korrigert_IT]],NA())</f>
        <v>44</v>
      </c>
      <c r="AR35" t="e">
        <f ca="1">IF(VLOOKUP(Tabell1345[[#This Row],[Nr]],$BV$3:$CB$11,2,TRUE)=3,Tabell1345[[#This Row],[Verdi_korrigert_IT]],NA())</f>
        <v>#N/A</v>
      </c>
      <c r="AS35" t="e">
        <f ca="1">IF(VLOOKUP(Tabell1345[[#This Row],[Nr]],$BV$3:$CB$11,2,TRUE)=4,Tabell1345[[#This Row],[Verdi_korrigert_IT]],NA())</f>
        <v>#N/A</v>
      </c>
      <c r="AT35" t="e">
        <f ca="1">IF(VLOOKUP(Tabell1345[[#This Row],[Nr]],$BV$3:$CB$11,2,TRUE)=5,Tabell1345[[#This Row],[Verdi_korrigert_IT]],NA())</f>
        <v>#N/A</v>
      </c>
      <c r="AU35" t="e">
        <f ca="1">IF(VLOOKUP(Tabell1345[[#This Row],[Nr]],$BV$3:$CB$11,2,TRUE)=6,Tabell1345[[#This Row],[Verdi_korrigert_IT]],NA())</f>
        <v>#N/A</v>
      </c>
      <c r="AV35" t="e">
        <f ca="1">IF(VLOOKUP(Tabell1345[[#This Row],[Nr]],$BV$3:$CB$11,2,TRUE)=7,Tabell1345[[#This Row],[Verdi_korrigert_IT]],NA())</f>
        <v>#N/A</v>
      </c>
      <c r="AW35">
        <f ca="1">IF(Tabell1345[[#This Row],[Brudd]]&lt;&gt;"*",IF(ISNUMBER(OFFSET(Tabell1345[[#This Row],[ser_indeks]],-1,0)),OFFSET(Tabell1345[[#This Row],[ser_indeks]],-1,0),0),0)+1</f>
        <v>8</v>
      </c>
      <c r="AX35">
        <f ca="1">VLOOKUP(Tabell1345[[#This Row],[Nr]],$BV$2:$BW$9,2,TRUE)</f>
        <v>2</v>
      </c>
      <c r="AY35">
        <f ca="1">IF(OFFSET(Tabell1345[[#This Row],[ser_indeks]],1,0)&lt;Tabell1345[[#This Row],[ser_indeks]],1,0)</f>
        <v>0</v>
      </c>
      <c r="AZ35">
        <f ca="1">IFERROR(VALUE(Tabell1345[[#This Row],[Verdi_korrigert_IT]]),OFFSET(Tabell1345[[#This Row],[verdi_korrigert]],-1,0))</f>
        <v>44</v>
      </c>
      <c r="BA35">
        <f ca="1">_xlfn.RANK.AVG(Tabell1345[[#This Row],[verdi_korrigert]],Tabell1345[verdi_korrigert],1)</f>
        <v>14.5</v>
      </c>
      <c r="BB35">
        <f ca="1">IF(Tabell1345[[#This Row],[rang]]=OFFSET(Tabell1345[[#This Row],[rang]],1,0),1,0)</f>
        <v>0</v>
      </c>
      <c r="BC35">
        <f ca="1">IF(AND(Tabell1345[[#This Row],[rang]]&gt;=OFFSET(Tabell1345[[#This Row],[rang]],-1,0),Tabell1345[[#This Row],[ser_indeks]]&gt;1),IFERROR(VALUE(OFFSET(Tabell1345[[#This Row],[rang_stig]],-1,0)),0)+1,VALUE($CH$3)-1)-Tabell1345[[#This Row],[rang_samme]]</f>
        <v>0</v>
      </c>
      <c r="BD35">
        <f ca="1">IF(AND(Tabell1345[[#This Row],[rang]]&lt;=OFFSET(Tabell1345[[#This Row],[rang]],-1,0),Tabell1345[[#This Row],[ser_indeks]]&gt;1),IFERROR(VALUE(OFFSET(Tabell1345[[#This Row],[rang_synk]],-1,0)),0)+1,VALUE($CH$3)-1)-Tabell1345[[#This Row],[rang_samme]]</f>
        <v>1</v>
      </c>
      <c r="BE35">
        <f ca="1">MAXA(Tabell1345[[#This Row],[rang_stig]:[rang_synk]])</f>
        <v>1</v>
      </c>
      <c r="BF35">
        <f ca="1">($CH$2-1)+_xlfn.AGGREGATE(9,6,Tabell1345[[#This Row],[rang_samme]]:OFFSET(Tabell1345[[#This Row],[rang_samme]],($CH$2-1),0))</f>
        <v>5</v>
      </c>
      <c r="BG35" t="e">
        <f ca="1">IF($G$9="ja",IF(MAXA(Tabell1345[[#This Row],[rang_stigsynk]]:INDIRECT(ADDRESS(ROW(Tabell1345[[#This Row],[rang_stigsynk]])+Tabell1345[[#This Row],[trend_omr]],COLUMN(Tabell1345[[#This Row],[rang_stigsynk]]))))&gt;($CH$2-2),Tabell1345[[#This Row],[Verdi_korrigert_IT]],NA()),NA())</f>
        <v>#N/A</v>
      </c>
      <c r="BH35" s="5">
        <f ca="1">IF(Tabell1345[[#This Row],[ser_indeks]]&gt;3,_xlfn.AGGREGATE(4,4,OFFSET(Tabell1345[[#This Row],[Verdi1]],-3,Tabell1345[[#This Row],[serie_nr]]-1):OFFSET(Tabell1345[[#This Row],[Verdi1]],4,Tabell1345[[#This Row],[serie_nr]]-1)),NA())</f>
        <v>100</v>
      </c>
      <c r="BI35" s="5">
        <f ca="1">IF(Tabell1345[[#This Row],[ser_indeks]]&gt;3,_xlfn.AGGREGATE(5,4,OFFSET(Tabell1345[[#This Row],[Verdi1]],-3,Tabell1345[[#This Row],[serie_nr]]-1):OFFSET(Tabell1345[[#This Row],[Verdi1]],4,Tabell1345[[#This Row],[serie_nr]]-1)),NA())</f>
        <v>4</v>
      </c>
      <c r="BJ35" s="5" t="e">
        <f ca="1">IF(_xlfn.AGGREGATE(4,6,Tabell1345[[#This Row],[til_brudd_rader]]:OFFSET(Tabell1345[[#This Row],[til_brudd_rader]],3,0))&gt;0,NA(),IF(Tabell1345[[#This Row],[skifte_lav1]]&lt;Tabell1345[[#This Row],[Snitt]],Tabell1345[[#This Row],[Verdi_korrigert_IT]],NA()))</f>
        <v>#N/A</v>
      </c>
      <c r="BK35" s="5" t="e">
        <f ca="1">IF(_xlfn.AGGREGATE(4,6,Tabell1345[[#This Row],[til_brudd_rader]]:OFFSET(Tabell1345[[#This Row],[til_brudd_rader]],3,0))&gt;0,NA(),IF(Tabell1345[[#This Row],[skifte_høy1]]&gt;Tabell1345[[#This Row],[Snitt]],Tabell1345[[#This Row],[Verdi_korrigert_IT]],NA()))</f>
        <v>#N/A</v>
      </c>
      <c r="BL35" t="e">
        <f ca="1">IF($G$9="ja",IFERROR(IF(_xlfn.AGGREGATE(4,6,OFFSET(Tabell1345[[#This Row],[skifte_lav2]],-4,0):OFFSET(Tabell1345[[#This Row],[skifte_lav2]],3,1))&gt;0,Tabell1345[[#This Row],[Verdi_korrigert_IT]],NA()),NA()),NA())</f>
        <v>#N/A</v>
      </c>
      <c r="BM35" t="e">
        <f ca="1">IF($G$9="ja",IF(OR(Tabell1345[[#This Row],[Verdi_korrigert_IT]]&gt;Tabell1345[[#This Row],[UCL]],Tabell1345[[#This Row],[Verdi_korrigert_IT]]&lt;Tabell1345[[#This Row],[LCL]]),Tabell1345[[#This Row],[Verdi_korrigert_IT]],NA()),NA())</f>
        <v>#N/A</v>
      </c>
      <c r="BN35">
        <f>IF(Tabell1345[[#This Row],[Brudd]]="x","",Tabell1345[[#This Row],[Verdi]])</f>
        <v>44</v>
      </c>
      <c r="BO35">
        <f>IF(Tabell1345[[#This Row],[Brudd]]="x",NA(),Tabell1345[[#This Row],[Verdi]])</f>
        <v>44</v>
      </c>
      <c r="BP35">
        <f ca="1">IF(ISERROR(Tabell1345[[#This Row],[Verdi_korrigert_IT]]),OFFSET(Tabell1345[[#This Row],[ForrigeGyldige]],-1,0),Tabell1345[[#This Row],[Verdi]])</f>
        <v>44</v>
      </c>
      <c r="BQ35">
        <f>Tabell1345[[#This Row],[Verdi]]</f>
        <v>44</v>
      </c>
    </row>
    <row r="36" spans="1:69" x14ac:dyDescent="0.35">
      <c r="A36">
        <f ca="1">IF(ISNUMBER(OFFSET(Tabell1345[[#This Row],[Nr]],-1,0)),OFFSET(Tabell1345[[#This Row],[Nr]],-1,0))+1</f>
        <v>22</v>
      </c>
      <c r="C36" s="36">
        <v>100</v>
      </c>
      <c r="H36" t="e">
        <f t="shared" si="7"/>
        <v>#N/A</v>
      </c>
      <c r="I36" t="b">
        <f>IF(OR(Tabell1345[[#This Row],[Brudd]]="*",ROW()-ROW(Tabell1345[#All])+1=ROWS(Tabell1345[#All])),ROW())</f>
        <v>0</v>
      </c>
      <c r="J36" s="2">
        <f ca="1">VLOOKUP(Tabell1345[[#This Row],[Nr]],$BV$2:$CB$11,4,TRUE)</f>
        <v>42.7</v>
      </c>
      <c r="K36" s="2">
        <f ca="1">VLOOKUP(Tabell1345[[#This Row],[Nr]],$BV$2:$CB$11,7,TRUE)</f>
        <v>-0.98000000000000398</v>
      </c>
      <c r="L36" s="2">
        <f ca="1">VLOOKUP(Tabell1345[[#This Row],[Nr]],$BV$2:$CB$11,6,TRUE)</f>
        <v>86.38000000000001</v>
      </c>
      <c r="M36">
        <f ca="1">IF(OR(Tabell1345[[#This Row],[Brudd]]="*",ISERROR(Tabell1345[[#This Row],[Verdi_korrigert_IT]])),"",IF(ISNUMBER(OFFSET(Tabell1345[[#This Row],[ForrigeGyldige]],-1,0)),ABS(Tabell1345[[#This Row],[Verdi_korrigert_IT]]-OFFSET(Tabell1345[[#This Row],[ForrigeGyldige]],-1,0)),""))</f>
        <v>56</v>
      </c>
      <c r="N36" t="e">
        <f ca="1">IF(VLOOKUP(Tabell1345[[#This Row],[Nr]],$BV$3:$CB$11,2,TRUE)=1,VLOOKUP(Tabell1345[[#This Row],[Nr]],$BV$3:$CB$11,4,TRUE),NA())</f>
        <v>#N/A</v>
      </c>
      <c r="O36">
        <f ca="1">IF(VLOOKUP(Tabell1345[[#This Row],[Nr]],$BV$3:$CB$11,2,TRUE)=2,VLOOKUP(Tabell1345[[#This Row],[Nr]],$BV$3:$CB$11,4,TRUE),NA())</f>
        <v>42.7</v>
      </c>
      <c r="P36" s="2" t="e">
        <f ca="1">IF(VLOOKUP(Tabell1345[[#This Row],[Nr]],$BV$3:$CB$11,2,TRUE)=3,VLOOKUP(Tabell1345[[#This Row],[Nr]],$BV$3:$CB$11,4,TRUE),NA())</f>
        <v>#N/A</v>
      </c>
      <c r="Q36" t="e">
        <f ca="1">IF(VLOOKUP(Tabell1345[[#This Row],[Nr]],$BV$3:$CB$11,2,TRUE)=4,VLOOKUP(Tabell1345[[#This Row],[Nr]],$BV$3:$CB$11,4,TRUE),NA())</f>
        <v>#N/A</v>
      </c>
      <c r="R36" t="e">
        <f ca="1">IF(VLOOKUP(Tabell1345[[#This Row],[Nr]],$BV$3:$CB$11,2,TRUE)=5,VLOOKUP(Tabell1345[[#This Row],[Nr]],$BV$3:$CB$11,4,TRUE),NA())</f>
        <v>#N/A</v>
      </c>
      <c r="S36" t="e">
        <f ca="1">IF(VLOOKUP(Tabell1345[[#This Row],[Nr]],$BV$3:$CB$11,2,TRUE)=6,VLOOKUP(Tabell1345[[#This Row],[Nr]],$BV$3:$CB$11,4,TRUE),NA())</f>
        <v>#N/A</v>
      </c>
      <c r="T36" t="e">
        <f ca="1">IF(VLOOKUP(Tabell1345[[#This Row],[Nr]],$BV$3:$CB$11,2,TRUE)=7,VLOOKUP(Tabell1345[[#This Row],[Nr]],$BV$3:$CB$11,4,TRUE),NA())</f>
        <v>#N/A</v>
      </c>
      <c r="U36" t="e">
        <f ca="1">IF(VLOOKUP(Tabell1345[[#This Row],[Nr]],$BV$3:$CB$11,2,TRUE)=1,VLOOKUP(Tabell1345[[#This Row],[Nr]],$BV$3:$CB$11,6,TRUE),NA())</f>
        <v>#N/A</v>
      </c>
      <c r="V36">
        <f ca="1">IF(VLOOKUP(Tabell1345[[#This Row],[Nr]],$BV$3:$CB$11,2,TRUE)=2,VLOOKUP(Tabell1345[[#This Row],[Nr]],$BV$3:$CB$11,6,TRUE),NA())</f>
        <v>86.38000000000001</v>
      </c>
      <c r="W36" t="e">
        <f ca="1">IF(VLOOKUP(Tabell1345[[#This Row],[Nr]],$BV$3:$CB$11,2,TRUE)=3,VLOOKUP(Tabell1345[[#This Row],[Nr]],$BV$3:$CB$11,6,TRUE),NA())</f>
        <v>#N/A</v>
      </c>
      <c r="X36" t="e">
        <f ca="1">IF(VLOOKUP(Tabell1345[[#This Row],[Nr]],$BV$3:$CB$11,2,TRUE)=4,VLOOKUP(Tabell1345[[#This Row],[Nr]],$BV$3:$CB$11,6,TRUE),NA())</f>
        <v>#N/A</v>
      </c>
      <c r="Y36" t="e">
        <f ca="1">IF(VLOOKUP(Tabell1345[[#This Row],[Nr]],$BV$3:$CB$11,2,TRUE)=5,VLOOKUP(Tabell1345[[#This Row],[Nr]],$BV$3:$CB$11,6,TRUE),NA())</f>
        <v>#N/A</v>
      </c>
      <c r="Z36" t="e">
        <f ca="1">IF(VLOOKUP(Tabell1345[[#This Row],[Nr]],$BV$3:$CB$11,2,TRUE)=6,VLOOKUP(Tabell1345[[#This Row],[Nr]],$BV$3:$CB$11,6,TRUE),NA())</f>
        <v>#N/A</v>
      </c>
      <c r="AA36" t="e">
        <f ca="1">IF(VLOOKUP(Tabell1345[[#This Row],[Nr]],$BV$3:$CB$11,2,TRUE)=7,VLOOKUP(Tabell1345[[#This Row],[Nr]],$BV$3:$CB$11,6,TRUE),NA())</f>
        <v>#N/A</v>
      </c>
      <c r="AB36" t="e">
        <f ca="1">IF(VLOOKUP(Tabell1345[[#This Row],[Nr]],$BV$3:$CB$11,2,TRUE)=1,VLOOKUP(Tabell1345[[#This Row],[Nr]],$BV$3:$CB$11,7,TRUE),NA())</f>
        <v>#N/A</v>
      </c>
      <c r="AC36">
        <f ca="1">IF(VLOOKUP(Tabell1345[[#This Row],[Nr]],$BV$3:$CB$11,2,TRUE)=2,VLOOKUP(Tabell1345[[#This Row],[Nr]],$BV$3:$CB$11,7,TRUE),NA())</f>
        <v>-0.98000000000000398</v>
      </c>
      <c r="AD36" t="e">
        <f ca="1">IF(VLOOKUP(Tabell1345[[#This Row],[Nr]],$BV$3:$CB$11,2,TRUE)=3,VLOOKUP(Tabell1345[[#This Row],[Nr]],$BV$3:$CB$11,7,TRUE),NA())</f>
        <v>#N/A</v>
      </c>
      <c r="AE36" t="e">
        <f ca="1">IF(VLOOKUP(Tabell1345[[#This Row],[Nr]],$BV$3:$CB$11,2,TRUE)=4,VLOOKUP(Tabell1345[[#This Row],[Nr]],$BV$3:$CB$11,7,TRUE),NA())</f>
        <v>#N/A</v>
      </c>
      <c r="AF36" t="e">
        <f ca="1">IF(VLOOKUP(Tabell1345[[#This Row],[Nr]],$BV$3:$CB$11,2,TRUE)=5,VLOOKUP(Tabell1345[[#This Row],[Nr]],$BV$3:$CB$11,7,TRUE),NA())</f>
        <v>#N/A</v>
      </c>
      <c r="AG36" t="e">
        <f ca="1">IF(VLOOKUP(Tabell1345[[#This Row],[Nr]],$BV$3:$CB$11,2,TRUE)=6,VLOOKUP(Tabell1345[[#This Row],[Nr]],$BV$3:$CB$11,7,TRUE),NA())</f>
        <v>#N/A</v>
      </c>
      <c r="AH36" t="e">
        <f ca="1">IF(VLOOKUP(Tabell1345[[#This Row],[Nr]],$BV$3:$CB$11,2,TRUE)=7,VLOOKUP(Tabell1345[[#This Row],[Nr]],$BV$3:$CB$11,7,TRUE),NA())</f>
        <v>#N/A</v>
      </c>
      <c r="AI36" t="e">
        <f ca="1">IF(VLOOKUP(Tabell1345[[#This Row],[Nr]],$BV$3:$CB$11,2,TRUE)=1,VLOOKUP(Tabell1345[[#This Row],[Nr]],$BV$3:$CB$11,5,TRUE),NA())</f>
        <v>#N/A</v>
      </c>
      <c r="AJ36">
        <f ca="1">IF(VLOOKUP(Tabell1345[[#This Row],[Nr]],$BV$3:$CB$11,2,TRUE)=2,VLOOKUP(Tabell1345[[#This Row],[Nr]],$BV$3:$CB$11,5,TRUE),NA())</f>
        <v>40.5</v>
      </c>
      <c r="AK36" t="e">
        <f ca="1">IF(VLOOKUP(Tabell1345[[#This Row],[Nr]],$BV$3:$CB$11,2,TRUE)=3,VLOOKUP(Tabell1345[[#This Row],[Nr]],$BV$3:$CB$11,5,TRUE),NA())</f>
        <v>#N/A</v>
      </c>
      <c r="AL36" t="e">
        <f ca="1">IF(VLOOKUP(Tabell1345[[#This Row],[Nr]],$BV$3:$CB$11,2,TRUE)=4,VLOOKUP(Tabell1345[[#This Row],[Nr]],$BV$3:$CB$11,5,TRUE),NA())</f>
        <v>#N/A</v>
      </c>
      <c r="AM36" t="e">
        <f ca="1">IF(VLOOKUP(Tabell1345[[#This Row],[Nr]],$BV$3:$CB$11,2,TRUE)=5,VLOOKUP(Tabell1345[[#This Row],[Nr]],$BV$3:$CB$11,5,TRUE),NA())</f>
        <v>#N/A</v>
      </c>
      <c r="AN36" t="e">
        <f ca="1">IF(VLOOKUP(Tabell1345[[#This Row],[Nr]],$BV$3:$CB$11,2,TRUE)=6,VLOOKUP(Tabell1345[[#This Row],[Nr]],$BV$3:$CB$11,5,TRUE),NA())</f>
        <v>#N/A</v>
      </c>
      <c r="AO36" t="e">
        <f ca="1">IF(VLOOKUP(Tabell1345[[#This Row],[Nr]],$BV$3:$CB$11,2,TRUE)=7,VLOOKUP(Tabell1345[[#This Row],[Nr]],$BV$3:$CB$11,5,TRUE),NA())</f>
        <v>#N/A</v>
      </c>
      <c r="AP36" t="e">
        <f ca="1">IF(VLOOKUP(Tabell1345[[#This Row],[Nr]],$BV$3:$CB$11,2,TRUE)=1,Tabell1345[[#This Row],[Verdi_korrigert_IT]],NA())</f>
        <v>#N/A</v>
      </c>
      <c r="AQ36">
        <f ca="1">IF(VLOOKUP(Tabell1345[[#This Row],[Nr]],$BV$3:$CB$11,2,TRUE)=2,Tabell1345[[#This Row],[Verdi_korrigert_IT]],NA())</f>
        <v>100</v>
      </c>
      <c r="AR36" t="e">
        <f ca="1">IF(VLOOKUP(Tabell1345[[#This Row],[Nr]],$BV$3:$CB$11,2,TRUE)=3,Tabell1345[[#This Row],[Verdi_korrigert_IT]],NA())</f>
        <v>#N/A</v>
      </c>
      <c r="AS36" t="e">
        <f ca="1">IF(VLOOKUP(Tabell1345[[#This Row],[Nr]],$BV$3:$CB$11,2,TRUE)=4,Tabell1345[[#This Row],[Verdi_korrigert_IT]],NA())</f>
        <v>#N/A</v>
      </c>
      <c r="AT36" t="e">
        <f ca="1">IF(VLOOKUP(Tabell1345[[#This Row],[Nr]],$BV$3:$CB$11,2,TRUE)=5,Tabell1345[[#This Row],[Verdi_korrigert_IT]],NA())</f>
        <v>#N/A</v>
      </c>
      <c r="AU36" t="e">
        <f ca="1">IF(VLOOKUP(Tabell1345[[#This Row],[Nr]],$BV$3:$CB$11,2,TRUE)=6,Tabell1345[[#This Row],[Verdi_korrigert_IT]],NA())</f>
        <v>#N/A</v>
      </c>
      <c r="AV36" t="e">
        <f ca="1">IF(VLOOKUP(Tabell1345[[#This Row],[Nr]],$BV$3:$CB$11,2,TRUE)=7,Tabell1345[[#This Row],[Verdi_korrigert_IT]],NA())</f>
        <v>#N/A</v>
      </c>
      <c r="AW36">
        <f ca="1">IF(Tabell1345[[#This Row],[Brudd]]&lt;&gt;"*",IF(ISNUMBER(OFFSET(Tabell1345[[#This Row],[ser_indeks]],-1,0)),OFFSET(Tabell1345[[#This Row],[ser_indeks]],-1,0),0),0)+1</f>
        <v>9</v>
      </c>
      <c r="AX36">
        <f ca="1">VLOOKUP(Tabell1345[[#This Row],[Nr]],$BV$2:$BW$9,2,TRUE)</f>
        <v>2</v>
      </c>
      <c r="AY36">
        <f ca="1">IF(OFFSET(Tabell1345[[#This Row],[ser_indeks]],1,0)&lt;Tabell1345[[#This Row],[ser_indeks]],1,0)</f>
        <v>0</v>
      </c>
      <c r="AZ36">
        <f ca="1">IFERROR(VALUE(Tabell1345[[#This Row],[Verdi_korrigert_IT]]),OFFSET(Tabell1345[[#This Row],[verdi_korrigert]],-1,0))</f>
        <v>100</v>
      </c>
      <c r="BA36">
        <f ca="1">_xlfn.RANK.AVG(Tabell1345[[#This Row],[verdi_korrigert]],Tabell1345[verdi_korrigert],1)</f>
        <v>32.5</v>
      </c>
      <c r="BB36">
        <f ca="1">IF(Tabell1345[[#This Row],[rang]]=OFFSET(Tabell1345[[#This Row],[rang]],1,0),1,0)</f>
        <v>0</v>
      </c>
      <c r="BC36">
        <f ca="1">IF(AND(Tabell1345[[#This Row],[rang]]&gt;=OFFSET(Tabell1345[[#This Row],[rang]],-1,0),Tabell1345[[#This Row],[ser_indeks]]&gt;1),IFERROR(VALUE(OFFSET(Tabell1345[[#This Row],[rang_stig]],-1,0)),0)+1,VALUE($CH$3)-1)-Tabell1345[[#This Row],[rang_samme]]</f>
        <v>1</v>
      </c>
      <c r="BD36">
        <f ca="1">IF(AND(Tabell1345[[#This Row],[rang]]&lt;=OFFSET(Tabell1345[[#This Row],[rang]],-1,0),Tabell1345[[#This Row],[ser_indeks]]&gt;1),IFERROR(VALUE(OFFSET(Tabell1345[[#This Row],[rang_synk]],-1,0)),0)+1,VALUE($CH$3)-1)-Tabell1345[[#This Row],[rang_samme]]</f>
        <v>0</v>
      </c>
      <c r="BE36">
        <f ca="1">MAXA(Tabell1345[[#This Row],[rang_stig]:[rang_synk]])</f>
        <v>1</v>
      </c>
      <c r="BF36">
        <f ca="1">($CH$2-1)+_xlfn.AGGREGATE(9,6,Tabell1345[[#This Row],[rang_samme]]:OFFSET(Tabell1345[[#This Row],[rang_samme]],($CH$2-1),0))</f>
        <v>5</v>
      </c>
      <c r="BG36" t="e">
        <f ca="1">IF($G$9="ja",IF(MAXA(Tabell1345[[#This Row],[rang_stigsynk]]:INDIRECT(ADDRESS(ROW(Tabell1345[[#This Row],[rang_stigsynk]])+Tabell1345[[#This Row],[trend_omr]],COLUMN(Tabell1345[[#This Row],[rang_stigsynk]]))))&gt;($CH$2-2),Tabell1345[[#This Row],[Verdi_korrigert_IT]],NA()),NA())</f>
        <v>#N/A</v>
      </c>
      <c r="BH36" s="5">
        <f ca="1">IF(Tabell1345[[#This Row],[ser_indeks]]&gt;3,_xlfn.AGGREGATE(4,4,OFFSET(Tabell1345[[#This Row],[Verdi1]],-3,Tabell1345[[#This Row],[serie_nr]]-1):OFFSET(Tabell1345[[#This Row],[Verdi1]],4,Tabell1345[[#This Row],[serie_nr]]-1)),NA())</f>
        <v>100</v>
      </c>
      <c r="BI36" s="5">
        <f ca="1">IF(Tabell1345[[#This Row],[ser_indeks]]&gt;3,_xlfn.AGGREGATE(5,4,OFFSET(Tabell1345[[#This Row],[Verdi1]],-3,Tabell1345[[#This Row],[serie_nr]]-1):OFFSET(Tabell1345[[#This Row],[Verdi1]],4,Tabell1345[[#This Row],[serie_nr]]-1)),NA())</f>
        <v>4</v>
      </c>
      <c r="BJ36" s="5" t="e">
        <f ca="1">IF(_xlfn.AGGREGATE(4,6,Tabell1345[[#This Row],[til_brudd_rader]]:OFFSET(Tabell1345[[#This Row],[til_brudd_rader]],3,0))&gt;0,NA(),IF(Tabell1345[[#This Row],[skifte_lav1]]&lt;Tabell1345[[#This Row],[Snitt]],Tabell1345[[#This Row],[Verdi_korrigert_IT]],NA()))</f>
        <v>#N/A</v>
      </c>
      <c r="BK36" s="5" t="e">
        <f ca="1">IF(_xlfn.AGGREGATE(4,6,Tabell1345[[#This Row],[til_brudd_rader]]:OFFSET(Tabell1345[[#This Row],[til_brudd_rader]],3,0))&gt;0,NA(),IF(Tabell1345[[#This Row],[skifte_høy1]]&gt;Tabell1345[[#This Row],[Snitt]],Tabell1345[[#This Row],[Verdi_korrigert_IT]],NA()))</f>
        <v>#N/A</v>
      </c>
      <c r="BL36" t="e">
        <f ca="1">IF($G$9="ja",IFERROR(IF(_xlfn.AGGREGATE(4,6,OFFSET(Tabell1345[[#This Row],[skifte_lav2]],-4,0):OFFSET(Tabell1345[[#This Row],[skifte_lav2]],3,1))&gt;0,Tabell1345[[#This Row],[Verdi_korrigert_IT]],NA()),NA()),NA())</f>
        <v>#N/A</v>
      </c>
      <c r="BM36">
        <f ca="1">IF($G$9="ja",IF(OR(Tabell1345[[#This Row],[Verdi_korrigert_IT]]&gt;Tabell1345[[#This Row],[UCL]],Tabell1345[[#This Row],[Verdi_korrigert_IT]]&lt;Tabell1345[[#This Row],[LCL]]),Tabell1345[[#This Row],[Verdi_korrigert_IT]],NA()),NA())</f>
        <v>100</v>
      </c>
      <c r="BN36">
        <f>IF(Tabell1345[[#This Row],[Brudd]]="x","",Tabell1345[[#This Row],[Verdi]])</f>
        <v>100</v>
      </c>
      <c r="BO36">
        <f>IF(Tabell1345[[#This Row],[Brudd]]="x",NA(),Tabell1345[[#This Row],[Verdi]])</f>
        <v>100</v>
      </c>
      <c r="BP36">
        <f ca="1">IF(ISERROR(Tabell1345[[#This Row],[Verdi_korrigert_IT]]),OFFSET(Tabell1345[[#This Row],[ForrigeGyldige]],-1,0),Tabell1345[[#This Row],[Verdi]])</f>
        <v>100</v>
      </c>
      <c r="BQ36">
        <f>Tabell1345[[#This Row],[Verdi]]</f>
        <v>100</v>
      </c>
    </row>
    <row r="37" spans="1:69" x14ac:dyDescent="0.35">
      <c r="A37">
        <f ca="1">IF(ISNUMBER(OFFSET(Tabell1345[[#This Row],[Nr]],-1,0)),OFFSET(Tabell1345[[#This Row],[Nr]],-1,0))+1</f>
        <v>23</v>
      </c>
      <c r="C37" s="36">
        <v>51</v>
      </c>
      <c r="H37" t="e">
        <f t="shared" si="7"/>
        <v>#N/A</v>
      </c>
      <c r="I37" t="b">
        <f>IF(OR(Tabell1345[[#This Row],[Brudd]]="*",ROW()-ROW(Tabell1345[#All])+1=ROWS(Tabell1345[#All])),ROW())</f>
        <v>0</v>
      </c>
      <c r="J37" s="2">
        <f ca="1">VLOOKUP(Tabell1345[[#This Row],[Nr]],$BV$2:$CB$11,4,TRUE)</f>
        <v>42.7</v>
      </c>
      <c r="K37" s="2">
        <f ca="1">VLOOKUP(Tabell1345[[#This Row],[Nr]],$BV$2:$CB$11,7,TRUE)</f>
        <v>-0.98000000000000398</v>
      </c>
      <c r="L37" s="2">
        <f ca="1">VLOOKUP(Tabell1345[[#This Row],[Nr]],$BV$2:$CB$11,6,TRUE)</f>
        <v>86.38000000000001</v>
      </c>
      <c r="M37">
        <f ca="1">IF(OR(Tabell1345[[#This Row],[Brudd]]="*",ISERROR(Tabell1345[[#This Row],[Verdi_korrigert_IT]])),"",IF(ISNUMBER(OFFSET(Tabell1345[[#This Row],[ForrigeGyldige]],-1,0)),ABS(Tabell1345[[#This Row],[Verdi_korrigert_IT]]-OFFSET(Tabell1345[[#This Row],[ForrigeGyldige]],-1,0)),""))</f>
        <v>49</v>
      </c>
      <c r="N37" t="e">
        <f ca="1">IF(VLOOKUP(Tabell1345[[#This Row],[Nr]],$BV$3:$CB$11,2,TRUE)=1,VLOOKUP(Tabell1345[[#This Row],[Nr]],$BV$3:$CB$11,4,TRUE),NA())</f>
        <v>#N/A</v>
      </c>
      <c r="O37">
        <f ca="1">IF(VLOOKUP(Tabell1345[[#This Row],[Nr]],$BV$3:$CB$11,2,TRUE)=2,VLOOKUP(Tabell1345[[#This Row],[Nr]],$BV$3:$CB$11,4,TRUE),NA())</f>
        <v>42.7</v>
      </c>
      <c r="P37" s="2" t="e">
        <f ca="1">IF(VLOOKUP(Tabell1345[[#This Row],[Nr]],$BV$3:$CB$11,2,TRUE)=3,VLOOKUP(Tabell1345[[#This Row],[Nr]],$BV$3:$CB$11,4,TRUE),NA())</f>
        <v>#N/A</v>
      </c>
      <c r="Q37" t="e">
        <f ca="1">IF(VLOOKUP(Tabell1345[[#This Row],[Nr]],$BV$3:$CB$11,2,TRUE)=4,VLOOKUP(Tabell1345[[#This Row],[Nr]],$BV$3:$CB$11,4,TRUE),NA())</f>
        <v>#N/A</v>
      </c>
      <c r="R37" t="e">
        <f ca="1">IF(VLOOKUP(Tabell1345[[#This Row],[Nr]],$BV$3:$CB$11,2,TRUE)=5,VLOOKUP(Tabell1345[[#This Row],[Nr]],$BV$3:$CB$11,4,TRUE),NA())</f>
        <v>#N/A</v>
      </c>
      <c r="S37" t="e">
        <f ca="1">IF(VLOOKUP(Tabell1345[[#This Row],[Nr]],$BV$3:$CB$11,2,TRUE)=6,VLOOKUP(Tabell1345[[#This Row],[Nr]],$BV$3:$CB$11,4,TRUE),NA())</f>
        <v>#N/A</v>
      </c>
      <c r="T37" t="e">
        <f ca="1">IF(VLOOKUP(Tabell1345[[#This Row],[Nr]],$BV$3:$CB$11,2,TRUE)=7,VLOOKUP(Tabell1345[[#This Row],[Nr]],$BV$3:$CB$11,4,TRUE),NA())</f>
        <v>#N/A</v>
      </c>
      <c r="U37" t="e">
        <f ca="1">IF(VLOOKUP(Tabell1345[[#This Row],[Nr]],$BV$3:$CB$11,2,TRUE)=1,VLOOKUP(Tabell1345[[#This Row],[Nr]],$BV$3:$CB$11,6,TRUE),NA())</f>
        <v>#N/A</v>
      </c>
      <c r="V37">
        <f ca="1">IF(VLOOKUP(Tabell1345[[#This Row],[Nr]],$BV$3:$CB$11,2,TRUE)=2,VLOOKUP(Tabell1345[[#This Row],[Nr]],$BV$3:$CB$11,6,TRUE),NA())</f>
        <v>86.38000000000001</v>
      </c>
      <c r="W37" t="e">
        <f ca="1">IF(VLOOKUP(Tabell1345[[#This Row],[Nr]],$BV$3:$CB$11,2,TRUE)=3,VLOOKUP(Tabell1345[[#This Row],[Nr]],$BV$3:$CB$11,6,TRUE),NA())</f>
        <v>#N/A</v>
      </c>
      <c r="X37" t="e">
        <f ca="1">IF(VLOOKUP(Tabell1345[[#This Row],[Nr]],$BV$3:$CB$11,2,TRUE)=4,VLOOKUP(Tabell1345[[#This Row],[Nr]],$BV$3:$CB$11,6,TRUE),NA())</f>
        <v>#N/A</v>
      </c>
      <c r="Y37" t="e">
        <f ca="1">IF(VLOOKUP(Tabell1345[[#This Row],[Nr]],$BV$3:$CB$11,2,TRUE)=5,VLOOKUP(Tabell1345[[#This Row],[Nr]],$BV$3:$CB$11,6,TRUE),NA())</f>
        <v>#N/A</v>
      </c>
      <c r="Z37" t="e">
        <f ca="1">IF(VLOOKUP(Tabell1345[[#This Row],[Nr]],$BV$3:$CB$11,2,TRUE)=6,VLOOKUP(Tabell1345[[#This Row],[Nr]],$BV$3:$CB$11,6,TRUE),NA())</f>
        <v>#N/A</v>
      </c>
      <c r="AA37" t="e">
        <f ca="1">IF(VLOOKUP(Tabell1345[[#This Row],[Nr]],$BV$3:$CB$11,2,TRUE)=7,VLOOKUP(Tabell1345[[#This Row],[Nr]],$BV$3:$CB$11,6,TRUE),NA())</f>
        <v>#N/A</v>
      </c>
      <c r="AB37" t="e">
        <f ca="1">IF(VLOOKUP(Tabell1345[[#This Row],[Nr]],$BV$3:$CB$11,2,TRUE)=1,VLOOKUP(Tabell1345[[#This Row],[Nr]],$BV$3:$CB$11,7,TRUE),NA())</f>
        <v>#N/A</v>
      </c>
      <c r="AC37">
        <f ca="1">IF(VLOOKUP(Tabell1345[[#This Row],[Nr]],$BV$3:$CB$11,2,TRUE)=2,VLOOKUP(Tabell1345[[#This Row],[Nr]],$BV$3:$CB$11,7,TRUE),NA())</f>
        <v>-0.98000000000000398</v>
      </c>
      <c r="AD37" t="e">
        <f ca="1">IF(VLOOKUP(Tabell1345[[#This Row],[Nr]],$BV$3:$CB$11,2,TRUE)=3,VLOOKUP(Tabell1345[[#This Row],[Nr]],$BV$3:$CB$11,7,TRUE),NA())</f>
        <v>#N/A</v>
      </c>
      <c r="AE37" t="e">
        <f ca="1">IF(VLOOKUP(Tabell1345[[#This Row],[Nr]],$BV$3:$CB$11,2,TRUE)=4,VLOOKUP(Tabell1345[[#This Row],[Nr]],$BV$3:$CB$11,7,TRUE),NA())</f>
        <v>#N/A</v>
      </c>
      <c r="AF37" t="e">
        <f ca="1">IF(VLOOKUP(Tabell1345[[#This Row],[Nr]],$BV$3:$CB$11,2,TRUE)=5,VLOOKUP(Tabell1345[[#This Row],[Nr]],$BV$3:$CB$11,7,TRUE),NA())</f>
        <v>#N/A</v>
      </c>
      <c r="AG37" t="e">
        <f ca="1">IF(VLOOKUP(Tabell1345[[#This Row],[Nr]],$BV$3:$CB$11,2,TRUE)=6,VLOOKUP(Tabell1345[[#This Row],[Nr]],$BV$3:$CB$11,7,TRUE),NA())</f>
        <v>#N/A</v>
      </c>
      <c r="AH37" t="e">
        <f ca="1">IF(VLOOKUP(Tabell1345[[#This Row],[Nr]],$BV$3:$CB$11,2,TRUE)=7,VLOOKUP(Tabell1345[[#This Row],[Nr]],$BV$3:$CB$11,7,TRUE),NA())</f>
        <v>#N/A</v>
      </c>
      <c r="AI37" t="e">
        <f ca="1">IF(VLOOKUP(Tabell1345[[#This Row],[Nr]],$BV$3:$CB$11,2,TRUE)=1,VLOOKUP(Tabell1345[[#This Row],[Nr]],$BV$3:$CB$11,5,TRUE),NA())</f>
        <v>#N/A</v>
      </c>
      <c r="AJ37">
        <f ca="1">IF(VLOOKUP(Tabell1345[[#This Row],[Nr]],$BV$3:$CB$11,2,TRUE)=2,VLOOKUP(Tabell1345[[#This Row],[Nr]],$BV$3:$CB$11,5,TRUE),NA())</f>
        <v>40.5</v>
      </c>
      <c r="AK37" t="e">
        <f ca="1">IF(VLOOKUP(Tabell1345[[#This Row],[Nr]],$BV$3:$CB$11,2,TRUE)=3,VLOOKUP(Tabell1345[[#This Row],[Nr]],$BV$3:$CB$11,5,TRUE),NA())</f>
        <v>#N/A</v>
      </c>
      <c r="AL37" t="e">
        <f ca="1">IF(VLOOKUP(Tabell1345[[#This Row],[Nr]],$BV$3:$CB$11,2,TRUE)=4,VLOOKUP(Tabell1345[[#This Row],[Nr]],$BV$3:$CB$11,5,TRUE),NA())</f>
        <v>#N/A</v>
      </c>
      <c r="AM37" t="e">
        <f ca="1">IF(VLOOKUP(Tabell1345[[#This Row],[Nr]],$BV$3:$CB$11,2,TRUE)=5,VLOOKUP(Tabell1345[[#This Row],[Nr]],$BV$3:$CB$11,5,TRUE),NA())</f>
        <v>#N/A</v>
      </c>
      <c r="AN37" t="e">
        <f ca="1">IF(VLOOKUP(Tabell1345[[#This Row],[Nr]],$BV$3:$CB$11,2,TRUE)=6,VLOOKUP(Tabell1345[[#This Row],[Nr]],$BV$3:$CB$11,5,TRUE),NA())</f>
        <v>#N/A</v>
      </c>
      <c r="AO37" t="e">
        <f ca="1">IF(VLOOKUP(Tabell1345[[#This Row],[Nr]],$BV$3:$CB$11,2,TRUE)=7,VLOOKUP(Tabell1345[[#This Row],[Nr]],$BV$3:$CB$11,5,TRUE),NA())</f>
        <v>#N/A</v>
      </c>
      <c r="AP37" t="e">
        <f ca="1">IF(VLOOKUP(Tabell1345[[#This Row],[Nr]],$BV$3:$CB$11,2,TRUE)=1,Tabell1345[[#This Row],[Verdi_korrigert_IT]],NA())</f>
        <v>#N/A</v>
      </c>
      <c r="AQ37">
        <f ca="1">IF(VLOOKUP(Tabell1345[[#This Row],[Nr]],$BV$3:$CB$11,2,TRUE)=2,Tabell1345[[#This Row],[Verdi_korrigert_IT]],NA())</f>
        <v>51</v>
      </c>
      <c r="AR37" t="e">
        <f ca="1">IF(VLOOKUP(Tabell1345[[#This Row],[Nr]],$BV$3:$CB$11,2,TRUE)=3,Tabell1345[[#This Row],[Verdi_korrigert_IT]],NA())</f>
        <v>#N/A</v>
      </c>
      <c r="AS37" t="e">
        <f ca="1">IF(VLOOKUP(Tabell1345[[#This Row],[Nr]],$BV$3:$CB$11,2,TRUE)=4,Tabell1345[[#This Row],[Verdi_korrigert_IT]],NA())</f>
        <v>#N/A</v>
      </c>
      <c r="AT37" t="e">
        <f ca="1">IF(VLOOKUP(Tabell1345[[#This Row],[Nr]],$BV$3:$CB$11,2,TRUE)=5,Tabell1345[[#This Row],[Verdi_korrigert_IT]],NA())</f>
        <v>#N/A</v>
      </c>
      <c r="AU37" t="e">
        <f ca="1">IF(VLOOKUP(Tabell1345[[#This Row],[Nr]],$BV$3:$CB$11,2,TRUE)=6,Tabell1345[[#This Row],[Verdi_korrigert_IT]],NA())</f>
        <v>#N/A</v>
      </c>
      <c r="AV37" t="e">
        <f ca="1">IF(VLOOKUP(Tabell1345[[#This Row],[Nr]],$BV$3:$CB$11,2,TRUE)=7,Tabell1345[[#This Row],[Verdi_korrigert_IT]],NA())</f>
        <v>#N/A</v>
      </c>
      <c r="AW37">
        <f ca="1">IF(Tabell1345[[#This Row],[Brudd]]&lt;&gt;"*",IF(ISNUMBER(OFFSET(Tabell1345[[#This Row],[ser_indeks]],-1,0)),OFFSET(Tabell1345[[#This Row],[ser_indeks]],-1,0),0),0)+1</f>
        <v>10</v>
      </c>
      <c r="AX37">
        <f ca="1">VLOOKUP(Tabell1345[[#This Row],[Nr]],$BV$2:$BW$9,2,TRUE)</f>
        <v>2</v>
      </c>
      <c r="AY37">
        <f ca="1">IF(OFFSET(Tabell1345[[#This Row],[ser_indeks]],1,0)&lt;Tabell1345[[#This Row],[ser_indeks]],1,0)</f>
        <v>0</v>
      </c>
      <c r="AZ37">
        <f ca="1">IFERROR(VALUE(Tabell1345[[#This Row],[Verdi_korrigert_IT]]),OFFSET(Tabell1345[[#This Row],[verdi_korrigert]],-1,0))</f>
        <v>51</v>
      </c>
      <c r="BA37">
        <f ca="1">_xlfn.RANK.AVG(Tabell1345[[#This Row],[verdi_korrigert]],Tabell1345[verdi_korrigert],1)</f>
        <v>22</v>
      </c>
      <c r="BB37">
        <f ca="1">IF(Tabell1345[[#This Row],[rang]]=OFFSET(Tabell1345[[#This Row],[rang]],1,0),1,0)</f>
        <v>0</v>
      </c>
      <c r="BC37">
        <f ca="1">IF(AND(Tabell1345[[#This Row],[rang]]&gt;=OFFSET(Tabell1345[[#This Row],[rang]],-1,0),Tabell1345[[#This Row],[ser_indeks]]&gt;1),IFERROR(VALUE(OFFSET(Tabell1345[[#This Row],[rang_stig]],-1,0)),0)+1,VALUE($CH$3)-1)-Tabell1345[[#This Row],[rang_samme]]</f>
        <v>0</v>
      </c>
      <c r="BD37">
        <f ca="1">IF(AND(Tabell1345[[#This Row],[rang]]&lt;=OFFSET(Tabell1345[[#This Row],[rang]],-1,0),Tabell1345[[#This Row],[ser_indeks]]&gt;1),IFERROR(VALUE(OFFSET(Tabell1345[[#This Row],[rang_synk]],-1,0)),0)+1,VALUE($CH$3)-1)-Tabell1345[[#This Row],[rang_samme]]</f>
        <v>1</v>
      </c>
      <c r="BE37">
        <f ca="1">MAXA(Tabell1345[[#This Row],[rang_stig]:[rang_synk]])</f>
        <v>1</v>
      </c>
      <c r="BF37">
        <f ca="1">($CH$2-1)+_xlfn.AGGREGATE(9,6,Tabell1345[[#This Row],[rang_samme]]:OFFSET(Tabell1345[[#This Row],[rang_samme]],($CH$2-1),0))</f>
        <v>5</v>
      </c>
      <c r="BG37" t="e">
        <f ca="1">IF($G$9="ja",IF(MAXA(Tabell1345[[#This Row],[rang_stigsynk]]:INDIRECT(ADDRESS(ROW(Tabell1345[[#This Row],[rang_stigsynk]])+Tabell1345[[#This Row],[trend_omr]],COLUMN(Tabell1345[[#This Row],[rang_stigsynk]]))))&gt;($CH$2-2),Tabell1345[[#This Row],[Verdi_korrigert_IT]],NA()),NA())</f>
        <v>#N/A</v>
      </c>
      <c r="BH37" s="5">
        <f ca="1">IF(Tabell1345[[#This Row],[ser_indeks]]&gt;3,_xlfn.AGGREGATE(4,4,OFFSET(Tabell1345[[#This Row],[Verdi1]],-3,Tabell1345[[#This Row],[serie_nr]]-1):OFFSET(Tabell1345[[#This Row],[Verdi1]],4,Tabell1345[[#This Row],[serie_nr]]-1)),NA())</f>
        <v>100</v>
      </c>
      <c r="BI37" s="5">
        <f ca="1">IF(Tabell1345[[#This Row],[ser_indeks]]&gt;3,_xlfn.AGGREGATE(5,4,OFFSET(Tabell1345[[#This Row],[Verdi1]],-3,Tabell1345[[#This Row],[serie_nr]]-1):OFFSET(Tabell1345[[#This Row],[Verdi1]],4,Tabell1345[[#This Row],[serie_nr]]-1)),NA())</f>
        <v>4</v>
      </c>
      <c r="BJ37" s="5" t="e">
        <f ca="1">IF(_xlfn.AGGREGATE(4,6,Tabell1345[[#This Row],[til_brudd_rader]]:OFFSET(Tabell1345[[#This Row],[til_brudd_rader]],3,0))&gt;0,NA(),IF(Tabell1345[[#This Row],[skifte_lav1]]&lt;Tabell1345[[#This Row],[Snitt]],Tabell1345[[#This Row],[Verdi_korrigert_IT]],NA()))</f>
        <v>#N/A</v>
      </c>
      <c r="BK37" s="5" t="e">
        <f ca="1">IF(_xlfn.AGGREGATE(4,6,Tabell1345[[#This Row],[til_brudd_rader]]:OFFSET(Tabell1345[[#This Row],[til_brudd_rader]],3,0))&gt;0,NA(),IF(Tabell1345[[#This Row],[skifte_høy1]]&gt;Tabell1345[[#This Row],[Snitt]],Tabell1345[[#This Row],[Verdi_korrigert_IT]],NA()))</f>
        <v>#N/A</v>
      </c>
      <c r="BL37" t="e">
        <f ca="1">IF($G$9="ja",IFERROR(IF(_xlfn.AGGREGATE(4,6,OFFSET(Tabell1345[[#This Row],[skifte_lav2]],-4,0):OFFSET(Tabell1345[[#This Row],[skifte_lav2]],3,1))&gt;0,Tabell1345[[#This Row],[Verdi_korrigert_IT]],NA()),NA()),NA())</f>
        <v>#N/A</v>
      </c>
      <c r="BM37" t="e">
        <f ca="1">IF($G$9="ja",IF(OR(Tabell1345[[#This Row],[Verdi_korrigert_IT]]&gt;Tabell1345[[#This Row],[UCL]],Tabell1345[[#This Row],[Verdi_korrigert_IT]]&lt;Tabell1345[[#This Row],[LCL]]),Tabell1345[[#This Row],[Verdi_korrigert_IT]],NA()),NA())</f>
        <v>#N/A</v>
      </c>
      <c r="BN37">
        <f>IF(Tabell1345[[#This Row],[Brudd]]="x","",Tabell1345[[#This Row],[Verdi]])</f>
        <v>51</v>
      </c>
      <c r="BO37">
        <f>IF(Tabell1345[[#This Row],[Brudd]]="x",NA(),Tabell1345[[#This Row],[Verdi]])</f>
        <v>51</v>
      </c>
      <c r="BP37">
        <f ca="1">IF(ISERROR(Tabell1345[[#This Row],[Verdi_korrigert_IT]]),OFFSET(Tabell1345[[#This Row],[ForrigeGyldige]],-1,0),Tabell1345[[#This Row],[Verdi]])</f>
        <v>51</v>
      </c>
      <c r="BQ37">
        <f>Tabell1345[[#This Row],[Verdi]]</f>
        <v>51</v>
      </c>
    </row>
    <row r="38" spans="1:69" x14ac:dyDescent="0.35">
      <c r="A38">
        <f ca="1">IF(ISNUMBER(OFFSET(Tabell1345[[#This Row],[Nr]],-1,0)),OFFSET(Tabell1345[[#This Row],[Nr]],-1,0))+1</f>
        <v>24</v>
      </c>
      <c r="C38" s="36">
        <v>4</v>
      </c>
      <c r="H38" t="e">
        <f t="shared" si="7"/>
        <v>#N/A</v>
      </c>
      <c r="I38" t="b">
        <f>IF(OR(Tabell1345[[#This Row],[Brudd]]="*",ROW()-ROW(Tabell1345[#All])+1=ROWS(Tabell1345[#All])),ROW())</f>
        <v>0</v>
      </c>
      <c r="J38" s="2">
        <f ca="1">VLOOKUP(Tabell1345[[#This Row],[Nr]],$BV$2:$CB$11,4,TRUE)</f>
        <v>42.7</v>
      </c>
      <c r="K38" s="2">
        <f ca="1">VLOOKUP(Tabell1345[[#This Row],[Nr]],$BV$2:$CB$11,7,TRUE)</f>
        <v>-0.98000000000000398</v>
      </c>
      <c r="L38" s="2">
        <f ca="1">VLOOKUP(Tabell1345[[#This Row],[Nr]],$BV$2:$CB$11,6,TRUE)</f>
        <v>86.38000000000001</v>
      </c>
      <c r="M38">
        <f ca="1">IF(OR(Tabell1345[[#This Row],[Brudd]]="*",ISERROR(Tabell1345[[#This Row],[Verdi_korrigert_IT]])),"",IF(ISNUMBER(OFFSET(Tabell1345[[#This Row],[ForrigeGyldige]],-1,0)),ABS(Tabell1345[[#This Row],[Verdi_korrigert_IT]]-OFFSET(Tabell1345[[#This Row],[ForrigeGyldige]],-1,0)),""))</f>
        <v>47</v>
      </c>
      <c r="N38" t="e">
        <f ca="1">IF(VLOOKUP(Tabell1345[[#This Row],[Nr]],$BV$3:$CB$11,2,TRUE)=1,VLOOKUP(Tabell1345[[#This Row],[Nr]],$BV$3:$CB$11,4,TRUE),NA())</f>
        <v>#N/A</v>
      </c>
      <c r="O38">
        <f ca="1">IF(VLOOKUP(Tabell1345[[#This Row],[Nr]],$BV$3:$CB$11,2,TRUE)=2,VLOOKUP(Tabell1345[[#This Row],[Nr]],$BV$3:$CB$11,4,TRUE),NA())</f>
        <v>42.7</v>
      </c>
      <c r="P38" s="2" t="e">
        <f ca="1">IF(VLOOKUP(Tabell1345[[#This Row],[Nr]],$BV$3:$CB$11,2,TRUE)=3,VLOOKUP(Tabell1345[[#This Row],[Nr]],$BV$3:$CB$11,4,TRUE),NA())</f>
        <v>#N/A</v>
      </c>
      <c r="Q38" t="e">
        <f ca="1">IF(VLOOKUP(Tabell1345[[#This Row],[Nr]],$BV$3:$CB$11,2,TRUE)=4,VLOOKUP(Tabell1345[[#This Row],[Nr]],$BV$3:$CB$11,4,TRUE),NA())</f>
        <v>#N/A</v>
      </c>
      <c r="R38" t="e">
        <f ca="1">IF(VLOOKUP(Tabell1345[[#This Row],[Nr]],$BV$3:$CB$11,2,TRUE)=5,VLOOKUP(Tabell1345[[#This Row],[Nr]],$BV$3:$CB$11,4,TRUE),NA())</f>
        <v>#N/A</v>
      </c>
      <c r="S38" t="e">
        <f ca="1">IF(VLOOKUP(Tabell1345[[#This Row],[Nr]],$BV$3:$CB$11,2,TRUE)=6,VLOOKUP(Tabell1345[[#This Row],[Nr]],$BV$3:$CB$11,4,TRUE),NA())</f>
        <v>#N/A</v>
      </c>
      <c r="T38" t="e">
        <f ca="1">IF(VLOOKUP(Tabell1345[[#This Row],[Nr]],$BV$3:$CB$11,2,TRUE)=7,VLOOKUP(Tabell1345[[#This Row],[Nr]],$BV$3:$CB$11,4,TRUE),NA())</f>
        <v>#N/A</v>
      </c>
      <c r="U38" t="e">
        <f ca="1">IF(VLOOKUP(Tabell1345[[#This Row],[Nr]],$BV$3:$CB$11,2,TRUE)=1,VLOOKUP(Tabell1345[[#This Row],[Nr]],$BV$3:$CB$11,6,TRUE),NA())</f>
        <v>#N/A</v>
      </c>
      <c r="V38">
        <f ca="1">IF(VLOOKUP(Tabell1345[[#This Row],[Nr]],$BV$3:$CB$11,2,TRUE)=2,VLOOKUP(Tabell1345[[#This Row],[Nr]],$BV$3:$CB$11,6,TRUE),NA())</f>
        <v>86.38000000000001</v>
      </c>
      <c r="W38" t="e">
        <f ca="1">IF(VLOOKUP(Tabell1345[[#This Row],[Nr]],$BV$3:$CB$11,2,TRUE)=3,VLOOKUP(Tabell1345[[#This Row],[Nr]],$BV$3:$CB$11,6,TRUE),NA())</f>
        <v>#N/A</v>
      </c>
      <c r="X38" t="e">
        <f ca="1">IF(VLOOKUP(Tabell1345[[#This Row],[Nr]],$BV$3:$CB$11,2,TRUE)=4,VLOOKUP(Tabell1345[[#This Row],[Nr]],$BV$3:$CB$11,6,TRUE),NA())</f>
        <v>#N/A</v>
      </c>
      <c r="Y38" t="e">
        <f ca="1">IF(VLOOKUP(Tabell1345[[#This Row],[Nr]],$BV$3:$CB$11,2,TRUE)=5,VLOOKUP(Tabell1345[[#This Row],[Nr]],$BV$3:$CB$11,6,TRUE),NA())</f>
        <v>#N/A</v>
      </c>
      <c r="Z38" t="e">
        <f ca="1">IF(VLOOKUP(Tabell1345[[#This Row],[Nr]],$BV$3:$CB$11,2,TRUE)=6,VLOOKUP(Tabell1345[[#This Row],[Nr]],$BV$3:$CB$11,6,TRUE),NA())</f>
        <v>#N/A</v>
      </c>
      <c r="AA38" t="e">
        <f ca="1">IF(VLOOKUP(Tabell1345[[#This Row],[Nr]],$BV$3:$CB$11,2,TRUE)=7,VLOOKUP(Tabell1345[[#This Row],[Nr]],$BV$3:$CB$11,6,TRUE),NA())</f>
        <v>#N/A</v>
      </c>
      <c r="AB38" t="e">
        <f ca="1">IF(VLOOKUP(Tabell1345[[#This Row],[Nr]],$BV$3:$CB$11,2,TRUE)=1,VLOOKUP(Tabell1345[[#This Row],[Nr]],$BV$3:$CB$11,7,TRUE),NA())</f>
        <v>#N/A</v>
      </c>
      <c r="AC38">
        <f ca="1">IF(VLOOKUP(Tabell1345[[#This Row],[Nr]],$BV$3:$CB$11,2,TRUE)=2,VLOOKUP(Tabell1345[[#This Row],[Nr]],$BV$3:$CB$11,7,TRUE),NA())</f>
        <v>-0.98000000000000398</v>
      </c>
      <c r="AD38" t="e">
        <f ca="1">IF(VLOOKUP(Tabell1345[[#This Row],[Nr]],$BV$3:$CB$11,2,TRUE)=3,VLOOKUP(Tabell1345[[#This Row],[Nr]],$BV$3:$CB$11,7,TRUE),NA())</f>
        <v>#N/A</v>
      </c>
      <c r="AE38" t="e">
        <f ca="1">IF(VLOOKUP(Tabell1345[[#This Row],[Nr]],$BV$3:$CB$11,2,TRUE)=4,VLOOKUP(Tabell1345[[#This Row],[Nr]],$BV$3:$CB$11,7,TRUE),NA())</f>
        <v>#N/A</v>
      </c>
      <c r="AF38" t="e">
        <f ca="1">IF(VLOOKUP(Tabell1345[[#This Row],[Nr]],$BV$3:$CB$11,2,TRUE)=5,VLOOKUP(Tabell1345[[#This Row],[Nr]],$BV$3:$CB$11,7,TRUE),NA())</f>
        <v>#N/A</v>
      </c>
      <c r="AG38" t="e">
        <f ca="1">IF(VLOOKUP(Tabell1345[[#This Row],[Nr]],$BV$3:$CB$11,2,TRUE)=6,VLOOKUP(Tabell1345[[#This Row],[Nr]],$BV$3:$CB$11,7,TRUE),NA())</f>
        <v>#N/A</v>
      </c>
      <c r="AH38" t="e">
        <f ca="1">IF(VLOOKUP(Tabell1345[[#This Row],[Nr]],$BV$3:$CB$11,2,TRUE)=7,VLOOKUP(Tabell1345[[#This Row],[Nr]],$BV$3:$CB$11,7,TRUE),NA())</f>
        <v>#N/A</v>
      </c>
      <c r="AI38" t="e">
        <f ca="1">IF(VLOOKUP(Tabell1345[[#This Row],[Nr]],$BV$3:$CB$11,2,TRUE)=1,VLOOKUP(Tabell1345[[#This Row],[Nr]],$BV$3:$CB$11,5,TRUE),NA())</f>
        <v>#N/A</v>
      </c>
      <c r="AJ38">
        <f ca="1">IF(VLOOKUP(Tabell1345[[#This Row],[Nr]],$BV$3:$CB$11,2,TRUE)=2,VLOOKUP(Tabell1345[[#This Row],[Nr]],$BV$3:$CB$11,5,TRUE),NA())</f>
        <v>40.5</v>
      </c>
      <c r="AK38" t="e">
        <f ca="1">IF(VLOOKUP(Tabell1345[[#This Row],[Nr]],$BV$3:$CB$11,2,TRUE)=3,VLOOKUP(Tabell1345[[#This Row],[Nr]],$BV$3:$CB$11,5,TRUE),NA())</f>
        <v>#N/A</v>
      </c>
      <c r="AL38" t="e">
        <f ca="1">IF(VLOOKUP(Tabell1345[[#This Row],[Nr]],$BV$3:$CB$11,2,TRUE)=4,VLOOKUP(Tabell1345[[#This Row],[Nr]],$BV$3:$CB$11,5,TRUE),NA())</f>
        <v>#N/A</v>
      </c>
      <c r="AM38" t="e">
        <f ca="1">IF(VLOOKUP(Tabell1345[[#This Row],[Nr]],$BV$3:$CB$11,2,TRUE)=5,VLOOKUP(Tabell1345[[#This Row],[Nr]],$BV$3:$CB$11,5,TRUE),NA())</f>
        <v>#N/A</v>
      </c>
      <c r="AN38" t="e">
        <f ca="1">IF(VLOOKUP(Tabell1345[[#This Row],[Nr]],$BV$3:$CB$11,2,TRUE)=6,VLOOKUP(Tabell1345[[#This Row],[Nr]],$BV$3:$CB$11,5,TRUE),NA())</f>
        <v>#N/A</v>
      </c>
      <c r="AO38" t="e">
        <f ca="1">IF(VLOOKUP(Tabell1345[[#This Row],[Nr]],$BV$3:$CB$11,2,TRUE)=7,VLOOKUP(Tabell1345[[#This Row],[Nr]],$BV$3:$CB$11,5,TRUE),NA())</f>
        <v>#N/A</v>
      </c>
      <c r="AP38" t="e">
        <f ca="1">IF(VLOOKUP(Tabell1345[[#This Row],[Nr]],$BV$3:$CB$11,2,TRUE)=1,Tabell1345[[#This Row],[Verdi_korrigert_IT]],NA())</f>
        <v>#N/A</v>
      </c>
      <c r="AQ38">
        <f ca="1">IF(VLOOKUP(Tabell1345[[#This Row],[Nr]],$BV$3:$CB$11,2,TRUE)=2,Tabell1345[[#This Row],[Verdi_korrigert_IT]],NA())</f>
        <v>4</v>
      </c>
      <c r="AR38" t="e">
        <f ca="1">IF(VLOOKUP(Tabell1345[[#This Row],[Nr]],$BV$3:$CB$11,2,TRUE)=3,Tabell1345[[#This Row],[Verdi_korrigert_IT]],NA())</f>
        <v>#N/A</v>
      </c>
      <c r="AS38" t="e">
        <f ca="1">IF(VLOOKUP(Tabell1345[[#This Row],[Nr]],$BV$3:$CB$11,2,TRUE)=4,Tabell1345[[#This Row],[Verdi_korrigert_IT]],NA())</f>
        <v>#N/A</v>
      </c>
      <c r="AT38" t="e">
        <f ca="1">IF(VLOOKUP(Tabell1345[[#This Row],[Nr]],$BV$3:$CB$11,2,TRUE)=5,Tabell1345[[#This Row],[Verdi_korrigert_IT]],NA())</f>
        <v>#N/A</v>
      </c>
      <c r="AU38" t="e">
        <f ca="1">IF(VLOOKUP(Tabell1345[[#This Row],[Nr]],$BV$3:$CB$11,2,TRUE)=6,Tabell1345[[#This Row],[Verdi_korrigert_IT]],NA())</f>
        <v>#N/A</v>
      </c>
      <c r="AV38" t="e">
        <f ca="1">IF(VLOOKUP(Tabell1345[[#This Row],[Nr]],$BV$3:$CB$11,2,TRUE)=7,Tabell1345[[#This Row],[Verdi_korrigert_IT]],NA())</f>
        <v>#N/A</v>
      </c>
      <c r="AW38">
        <f ca="1">IF(Tabell1345[[#This Row],[Brudd]]&lt;&gt;"*",IF(ISNUMBER(OFFSET(Tabell1345[[#This Row],[ser_indeks]],-1,0)),OFFSET(Tabell1345[[#This Row],[ser_indeks]],-1,0),0),0)+1</f>
        <v>11</v>
      </c>
      <c r="AX38">
        <f ca="1">VLOOKUP(Tabell1345[[#This Row],[Nr]],$BV$2:$BW$9,2,TRUE)</f>
        <v>2</v>
      </c>
      <c r="AY38">
        <f ca="1">IF(OFFSET(Tabell1345[[#This Row],[ser_indeks]],1,0)&lt;Tabell1345[[#This Row],[ser_indeks]],1,0)</f>
        <v>0</v>
      </c>
      <c r="AZ38">
        <f ca="1">IFERROR(VALUE(Tabell1345[[#This Row],[Verdi_korrigert_IT]]),OFFSET(Tabell1345[[#This Row],[verdi_korrigert]],-1,0))</f>
        <v>4</v>
      </c>
      <c r="BA38">
        <f ca="1">_xlfn.RANK.AVG(Tabell1345[[#This Row],[verdi_korrigert]],Tabell1345[verdi_korrigert],1)</f>
        <v>1</v>
      </c>
      <c r="BB38">
        <f ca="1">IF(Tabell1345[[#This Row],[rang]]=OFFSET(Tabell1345[[#This Row],[rang]],1,0),1,0)</f>
        <v>0</v>
      </c>
      <c r="BC38">
        <f ca="1">IF(AND(Tabell1345[[#This Row],[rang]]&gt;=OFFSET(Tabell1345[[#This Row],[rang]],-1,0),Tabell1345[[#This Row],[ser_indeks]]&gt;1),IFERROR(VALUE(OFFSET(Tabell1345[[#This Row],[rang_stig]],-1,0)),0)+1,VALUE($CH$3)-1)-Tabell1345[[#This Row],[rang_samme]]</f>
        <v>0</v>
      </c>
      <c r="BD38">
        <f ca="1">IF(AND(Tabell1345[[#This Row],[rang]]&lt;=OFFSET(Tabell1345[[#This Row],[rang]],-1,0),Tabell1345[[#This Row],[ser_indeks]]&gt;1),IFERROR(VALUE(OFFSET(Tabell1345[[#This Row],[rang_synk]],-1,0)),0)+1,VALUE($CH$3)-1)-Tabell1345[[#This Row],[rang_samme]]</f>
        <v>2</v>
      </c>
      <c r="BE38">
        <f ca="1">MAXA(Tabell1345[[#This Row],[rang_stig]:[rang_synk]])</f>
        <v>2</v>
      </c>
      <c r="BF38">
        <f ca="1">($CH$2-1)+_xlfn.AGGREGATE(9,6,Tabell1345[[#This Row],[rang_samme]]:OFFSET(Tabell1345[[#This Row],[rang_samme]],($CH$2-1),0))</f>
        <v>5</v>
      </c>
      <c r="BG38" t="e">
        <f ca="1">IF($G$9="ja",IF(MAXA(Tabell1345[[#This Row],[rang_stigsynk]]:INDIRECT(ADDRESS(ROW(Tabell1345[[#This Row],[rang_stigsynk]])+Tabell1345[[#This Row],[trend_omr]],COLUMN(Tabell1345[[#This Row],[rang_stigsynk]]))))&gt;($CH$2-2),Tabell1345[[#This Row],[Verdi_korrigert_IT]],NA()),NA())</f>
        <v>#N/A</v>
      </c>
      <c r="BH38" s="5">
        <f ca="1">IF(Tabell1345[[#This Row],[ser_indeks]]&gt;3,_xlfn.AGGREGATE(4,4,OFFSET(Tabell1345[[#This Row],[Verdi1]],-3,Tabell1345[[#This Row],[serie_nr]]-1):OFFSET(Tabell1345[[#This Row],[Verdi1]],4,Tabell1345[[#This Row],[serie_nr]]-1)),NA())</f>
        <v>100</v>
      </c>
      <c r="BI38" s="5">
        <f ca="1">IF(Tabell1345[[#This Row],[ser_indeks]]&gt;3,_xlfn.AGGREGATE(5,4,OFFSET(Tabell1345[[#This Row],[Verdi1]],-3,Tabell1345[[#This Row],[serie_nr]]-1):OFFSET(Tabell1345[[#This Row],[Verdi1]],4,Tabell1345[[#This Row],[serie_nr]]-1)),NA())</f>
        <v>4</v>
      </c>
      <c r="BJ38" s="5" t="e">
        <f ca="1">IF(_xlfn.AGGREGATE(4,6,Tabell1345[[#This Row],[til_brudd_rader]]:OFFSET(Tabell1345[[#This Row],[til_brudd_rader]],3,0))&gt;0,NA(),IF(Tabell1345[[#This Row],[skifte_lav1]]&lt;Tabell1345[[#This Row],[Snitt]],Tabell1345[[#This Row],[Verdi_korrigert_IT]],NA()))</f>
        <v>#N/A</v>
      </c>
      <c r="BK38" s="5" t="e">
        <f ca="1">IF(_xlfn.AGGREGATE(4,6,Tabell1345[[#This Row],[til_brudd_rader]]:OFFSET(Tabell1345[[#This Row],[til_brudd_rader]],3,0))&gt;0,NA(),IF(Tabell1345[[#This Row],[skifte_høy1]]&gt;Tabell1345[[#This Row],[Snitt]],Tabell1345[[#This Row],[Verdi_korrigert_IT]],NA()))</f>
        <v>#N/A</v>
      </c>
      <c r="BL38" t="e">
        <f ca="1">IF($G$9="ja",IFERROR(IF(_xlfn.AGGREGATE(4,6,OFFSET(Tabell1345[[#This Row],[skifte_lav2]],-4,0):OFFSET(Tabell1345[[#This Row],[skifte_lav2]],3,1))&gt;0,Tabell1345[[#This Row],[Verdi_korrigert_IT]],NA()),NA()),NA())</f>
        <v>#N/A</v>
      </c>
      <c r="BM38" t="e">
        <f ca="1">IF($G$9="ja",IF(OR(Tabell1345[[#This Row],[Verdi_korrigert_IT]]&gt;Tabell1345[[#This Row],[UCL]],Tabell1345[[#This Row],[Verdi_korrigert_IT]]&lt;Tabell1345[[#This Row],[LCL]]),Tabell1345[[#This Row],[Verdi_korrigert_IT]],NA()),NA())</f>
        <v>#N/A</v>
      </c>
      <c r="BN38">
        <f>IF(Tabell1345[[#This Row],[Brudd]]="x","",Tabell1345[[#This Row],[Verdi]])</f>
        <v>4</v>
      </c>
      <c r="BO38">
        <f>IF(Tabell1345[[#This Row],[Brudd]]="x",NA(),Tabell1345[[#This Row],[Verdi]])</f>
        <v>4</v>
      </c>
      <c r="BP38">
        <f ca="1">IF(ISERROR(Tabell1345[[#This Row],[Verdi_korrigert_IT]]),OFFSET(Tabell1345[[#This Row],[ForrigeGyldige]],-1,0),Tabell1345[[#This Row],[Verdi]])</f>
        <v>4</v>
      </c>
      <c r="BQ38">
        <f>Tabell1345[[#This Row],[Verdi]]</f>
        <v>4</v>
      </c>
    </row>
    <row r="39" spans="1:69" x14ac:dyDescent="0.35">
      <c r="A39">
        <f ca="1">IF(ISNUMBER(OFFSET(Tabell1345[[#This Row],[Nr]],-1,0)),OFFSET(Tabell1345[[#This Row],[Nr]],-1,0))+1</f>
        <v>25</v>
      </c>
      <c r="C39" s="36">
        <v>58</v>
      </c>
      <c r="H39" t="e">
        <f t="shared" si="7"/>
        <v>#N/A</v>
      </c>
      <c r="I39" t="b">
        <f>IF(OR(Tabell1345[[#This Row],[Brudd]]="*",ROW()-ROW(Tabell1345[#All])+1=ROWS(Tabell1345[#All])),ROW())</f>
        <v>0</v>
      </c>
      <c r="J39" s="2">
        <f ca="1">VLOOKUP(Tabell1345[[#This Row],[Nr]],$BV$2:$CB$11,4,TRUE)</f>
        <v>42.7</v>
      </c>
      <c r="K39" s="2">
        <f ca="1">VLOOKUP(Tabell1345[[#This Row],[Nr]],$BV$2:$CB$11,7,TRUE)</f>
        <v>-0.98000000000000398</v>
      </c>
      <c r="L39" s="2">
        <f ca="1">VLOOKUP(Tabell1345[[#This Row],[Nr]],$BV$2:$CB$11,6,TRUE)</f>
        <v>86.38000000000001</v>
      </c>
      <c r="M39">
        <f ca="1">IF(OR(Tabell1345[[#This Row],[Brudd]]="*",ISERROR(Tabell1345[[#This Row],[Verdi_korrigert_IT]])),"",IF(ISNUMBER(OFFSET(Tabell1345[[#This Row],[ForrigeGyldige]],-1,0)),ABS(Tabell1345[[#This Row],[Verdi_korrigert_IT]]-OFFSET(Tabell1345[[#This Row],[ForrigeGyldige]],-1,0)),""))</f>
        <v>54</v>
      </c>
      <c r="N39" t="e">
        <f ca="1">IF(VLOOKUP(Tabell1345[[#This Row],[Nr]],$BV$3:$CB$11,2,TRUE)=1,VLOOKUP(Tabell1345[[#This Row],[Nr]],$BV$3:$CB$11,4,TRUE),NA())</f>
        <v>#N/A</v>
      </c>
      <c r="O39">
        <f ca="1">IF(VLOOKUP(Tabell1345[[#This Row],[Nr]],$BV$3:$CB$11,2,TRUE)=2,VLOOKUP(Tabell1345[[#This Row],[Nr]],$BV$3:$CB$11,4,TRUE),NA())</f>
        <v>42.7</v>
      </c>
      <c r="P39" s="2" t="e">
        <f ca="1">IF(VLOOKUP(Tabell1345[[#This Row],[Nr]],$BV$3:$CB$11,2,TRUE)=3,VLOOKUP(Tabell1345[[#This Row],[Nr]],$BV$3:$CB$11,4,TRUE),NA())</f>
        <v>#N/A</v>
      </c>
      <c r="Q39" t="e">
        <f ca="1">IF(VLOOKUP(Tabell1345[[#This Row],[Nr]],$BV$3:$CB$11,2,TRUE)=4,VLOOKUP(Tabell1345[[#This Row],[Nr]],$BV$3:$CB$11,4,TRUE),NA())</f>
        <v>#N/A</v>
      </c>
      <c r="R39" t="e">
        <f ca="1">IF(VLOOKUP(Tabell1345[[#This Row],[Nr]],$BV$3:$CB$11,2,TRUE)=5,VLOOKUP(Tabell1345[[#This Row],[Nr]],$BV$3:$CB$11,4,TRUE),NA())</f>
        <v>#N/A</v>
      </c>
      <c r="S39" t="e">
        <f ca="1">IF(VLOOKUP(Tabell1345[[#This Row],[Nr]],$BV$3:$CB$11,2,TRUE)=6,VLOOKUP(Tabell1345[[#This Row],[Nr]],$BV$3:$CB$11,4,TRUE),NA())</f>
        <v>#N/A</v>
      </c>
      <c r="T39" t="e">
        <f ca="1">IF(VLOOKUP(Tabell1345[[#This Row],[Nr]],$BV$3:$CB$11,2,TRUE)=7,VLOOKUP(Tabell1345[[#This Row],[Nr]],$BV$3:$CB$11,4,TRUE),NA())</f>
        <v>#N/A</v>
      </c>
      <c r="U39" t="e">
        <f ca="1">IF(VLOOKUP(Tabell1345[[#This Row],[Nr]],$BV$3:$CB$11,2,TRUE)=1,VLOOKUP(Tabell1345[[#This Row],[Nr]],$BV$3:$CB$11,6,TRUE),NA())</f>
        <v>#N/A</v>
      </c>
      <c r="V39">
        <f ca="1">IF(VLOOKUP(Tabell1345[[#This Row],[Nr]],$BV$3:$CB$11,2,TRUE)=2,VLOOKUP(Tabell1345[[#This Row],[Nr]],$BV$3:$CB$11,6,TRUE),NA())</f>
        <v>86.38000000000001</v>
      </c>
      <c r="W39" t="e">
        <f ca="1">IF(VLOOKUP(Tabell1345[[#This Row],[Nr]],$BV$3:$CB$11,2,TRUE)=3,VLOOKUP(Tabell1345[[#This Row],[Nr]],$BV$3:$CB$11,6,TRUE),NA())</f>
        <v>#N/A</v>
      </c>
      <c r="X39" t="e">
        <f ca="1">IF(VLOOKUP(Tabell1345[[#This Row],[Nr]],$BV$3:$CB$11,2,TRUE)=4,VLOOKUP(Tabell1345[[#This Row],[Nr]],$BV$3:$CB$11,6,TRUE),NA())</f>
        <v>#N/A</v>
      </c>
      <c r="Y39" t="e">
        <f ca="1">IF(VLOOKUP(Tabell1345[[#This Row],[Nr]],$BV$3:$CB$11,2,TRUE)=5,VLOOKUP(Tabell1345[[#This Row],[Nr]],$BV$3:$CB$11,6,TRUE),NA())</f>
        <v>#N/A</v>
      </c>
      <c r="Z39" t="e">
        <f ca="1">IF(VLOOKUP(Tabell1345[[#This Row],[Nr]],$BV$3:$CB$11,2,TRUE)=6,VLOOKUP(Tabell1345[[#This Row],[Nr]],$BV$3:$CB$11,6,TRUE),NA())</f>
        <v>#N/A</v>
      </c>
      <c r="AA39" t="e">
        <f ca="1">IF(VLOOKUP(Tabell1345[[#This Row],[Nr]],$BV$3:$CB$11,2,TRUE)=7,VLOOKUP(Tabell1345[[#This Row],[Nr]],$BV$3:$CB$11,6,TRUE),NA())</f>
        <v>#N/A</v>
      </c>
      <c r="AB39" t="e">
        <f ca="1">IF(VLOOKUP(Tabell1345[[#This Row],[Nr]],$BV$3:$CB$11,2,TRUE)=1,VLOOKUP(Tabell1345[[#This Row],[Nr]],$BV$3:$CB$11,7,TRUE),NA())</f>
        <v>#N/A</v>
      </c>
      <c r="AC39">
        <f ca="1">IF(VLOOKUP(Tabell1345[[#This Row],[Nr]],$BV$3:$CB$11,2,TRUE)=2,VLOOKUP(Tabell1345[[#This Row],[Nr]],$BV$3:$CB$11,7,TRUE),NA())</f>
        <v>-0.98000000000000398</v>
      </c>
      <c r="AD39" t="e">
        <f ca="1">IF(VLOOKUP(Tabell1345[[#This Row],[Nr]],$BV$3:$CB$11,2,TRUE)=3,VLOOKUP(Tabell1345[[#This Row],[Nr]],$BV$3:$CB$11,7,TRUE),NA())</f>
        <v>#N/A</v>
      </c>
      <c r="AE39" t="e">
        <f ca="1">IF(VLOOKUP(Tabell1345[[#This Row],[Nr]],$BV$3:$CB$11,2,TRUE)=4,VLOOKUP(Tabell1345[[#This Row],[Nr]],$BV$3:$CB$11,7,TRUE),NA())</f>
        <v>#N/A</v>
      </c>
      <c r="AF39" t="e">
        <f ca="1">IF(VLOOKUP(Tabell1345[[#This Row],[Nr]],$BV$3:$CB$11,2,TRUE)=5,VLOOKUP(Tabell1345[[#This Row],[Nr]],$BV$3:$CB$11,7,TRUE),NA())</f>
        <v>#N/A</v>
      </c>
      <c r="AG39" t="e">
        <f ca="1">IF(VLOOKUP(Tabell1345[[#This Row],[Nr]],$BV$3:$CB$11,2,TRUE)=6,VLOOKUP(Tabell1345[[#This Row],[Nr]],$BV$3:$CB$11,7,TRUE),NA())</f>
        <v>#N/A</v>
      </c>
      <c r="AH39" t="e">
        <f ca="1">IF(VLOOKUP(Tabell1345[[#This Row],[Nr]],$BV$3:$CB$11,2,TRUE)=7,VLOOKUP(Tabell1345[[#This Row],[Nr]],$BV$3:$CB$11,7,TRUE),NA())</f>
        <v>#N/A</v>
      </c>
      <c r="AI39" t="e">
        <f ca="1">IF(VLOOKUP(Tabell1345[[#This Row],[Nr]],$BV$3:$CB$11,2,TRUE)=1,VLOOKUP(Tabell1345[[#This Row],[Nr]],$BV$3:$CB$11,5,TRUE),NA())</f>
        <v>#N/A</v>
      </c>
      <c r="AJ39">
        <f ca="1">IF(VLOOKUP(Tabell1345[[#This Row],[Nr]],$BV$3:$CB$11,2,TRUE)=2,VLOOKUP(Tabell1345[[#This Row],[Nr]],$BV$3:$CB$11,5,TRUE),NA())</f>
        <v>40.5</v>
      </c>
      <c r="AK39" t="e">
        <f ca="1">IF(VLOOKUP(Tabell1345[[#This Row],[Nr]],$BV$3:$CB$11,2,TRUE)=3,VLOOKUP(Tabell1345[[#This Row],[Nr]],$BV$3:$CB$11,5,TRUE),NA())</f>
        <v>#N/A</v>
      </c>
      <c r="AL39" t="e">
        <f ca="1">IF(VLOOKUP(Tabell1345[[#This Row],[Nr]],$BV$3:$CB$11,2,TRUE)=4,VLOOKUP(Tabell1345[[#This Row],[Nr]],$BV$3:$CB$11,5,TRUE),NA())</f>
        <v>#N/A</v>
      </c>
      <c r="AM39" t="e">
        <f ca="1">IF(VLOOKUP(Tabell1345[[#This Row],[Nr]],$BV$3:$CB$11,2,TRUE)=5,VLOOKUP(Tabell1345[[#This Row],[Nr]],$BV$3:$CB$11,5,TRUE),NA())</f>
        <v>#N/A</v>
      </c>
      <c r="AN39" t="e">
        <f ca="1">IF(VLOOKUP(Tabell1345[[#This Row],[Nr]],$BV$3:$CB$11,2,TRUE)=6,VLOOKUP(Tabell1345[[#This Row],[Nr]],$BV$3:$CB$11,5,TRUE),NA())</f>
        <v>#N/A</v>
      </c>
      <c r="AO39" t="e">
        <f ca="1">IF(VLOOKUP(Tabell1345[[#This Row],[Nr]],$BV$3:$CB$11,2,TRUE)=7,VLOOKUP(Tabell1345[[#This Row],[Nr]],$BV$3:$CB$11,5,TRUE),NA())</f>
        <v>#N/A</v>
      </c>
      <c r="AP39" t="e">
        <f ca="1">IF(VLOOKUP(Tabell1345[[#This Row],[Nr]],$BV$3:$CB$11,2,TRUE)=1,Tabell1345[[#This Row],[Verdi_korrigert_IT]],NA())</f>
        <v>#N/A</v>
      </c>
      <c r="AQ39">
        <f ca="1">IF(VLOOKUP(Tabell1345[[#This Row],[Nr]],$BV$3:$CB$11,2,TRUE)=2,Tabell1345[[#This Row],[Verdi_korrigert_IT]],NA())</f>
        <v>58</v>
      </c>
      <c r="AR39" t="e">
        <f ca="1">IF(VLOOKUP(Tabell1345[[#This Row],[Nr]],$BV$3:$CB$11,2,TRUE)=3,Tabell1345[[#This Row],[Verdi_korrigert_IT]],NA())</f>
        <v>#N/A</v>
      </c>
      <c r="AS39" t="e">
        <f ca="1">IF(VLOOKUP(Tabell1345[[#This Row],[Nr]],$BV$3:$CB$11,2,TRUE)=4,Tabell1345[[#This Row],[Verdi_korrigert_IT]],NA())</f>
        <v>#N/A</v>
      </c>
      <c r="AT39" t="e">
        <f ca="1">IF(VLOOKUP(Tabell1345[[#This Row],[Nr]],$BV$3:$CB$11,2,TRUE)=5,Tabell1345[[#This Row],[Verdi_korrigert_IT]],NA())</f>
        <v>#N/A</v>
      </c>
      <c r="AU39" t="e">
        <f ca="1">IF(VLOOKUP(Tabell1345[[#This Row],[Nr]],$BV$3:$CB$11,2,TRUE)=6,Tabell1345[[#This Row],[Verdi_korrigert_IT]],NA())</f>
        <v>#N/A</v>
      </c>
      <c r="AV39" t="e">
        <f ca="1">IF(VLOOKUP(Tabell1345[[#This Row],[Nr]],$BV$3:$CB$11,2,TRUE)=7,Tabell1345[[#This Row],[Verdi_korrigert_IT]],NA())</f>
        <v>#N/A</v>
      </c>
      <c r="AW39">
        <f ca="1">IF(Tabell1345[[#This Row],[Brudd]]&lt;&gt;"*",IF(ISNUMBER(OFFSET(Tabell1345[[#This Row],[ser_indeks]],-1,0)),OFFSET(Tabell1345[[#This Row],[ser_indeks]],-1,0),0),0)+1</f>
        <v>12</v>
      </c>
      <c r="AX39">
        <f ca="1">VLOOKUP(Tabell1345[[#This Row],[Nr]],$BV$2:$BW$9,2,TRUE)</f>
        <v>2</v>
      </c>
      <c r="AY39">
        <f ca="1">IF(OFFSET(Tabell1345[[#This Row],[ser_indeks]],1,0)&lt;Tabell1345[[#This Row],[ser_indeks]],1,0)</f>
        <v>0</v>
      </c>
      <c r="AZ39">
        <f ca="1">IFERROR(VALUE(Tabell1345[[#This Row],[Verdi_korrigert_IT]]),OFFSET(Tabell1345[[#This Row],[verdi_korrigert]],-1,0))</f>
        <v>58</v>
      </c>
      <c r="BA39">
        <f ca="1">_xlfn.RANK.AVG(Tabell1345[[#This Row],[verdi_korrigert]],Tabell1345[verdi_korrigert],1)</f>
        <v>30.5</v>
      </c>
      <c r="BB39">
        <f ca="1">IF(Tabell1345[[#This Row],[rang]]=OFFSET(Tabell1345[[#This Row],[rang]],1,0),1,0)</f>
        <v>0</v>
      </c>
      <c r="BC39">
        <f ca="1">IF(AND(Tabell1345[[#This Row],[rang]]&gt;=OFFSET(Tabell1345[[#This Row],[rang]],-1,0),Tabell1345[[#This Row],[ser_indeks]]&gt;1),IFERROR(VALUE(OFFSET(Tabell1345[[#This Row],[rang_stig]],-1,0)),0)+1,VALUE($CH$3)-1)-Tabell1345[[#This Row],[rang_samme]]</f>
        <v>1</v>
      </c>
      <c r="BD39">
        <f ca="1">IF(AND(Tabell1345[[#This Row],[rang]]&lt;=OFFSET(Tabell1345[[#This Row],[rang]],-1,0),Tabell1345[[#This Row],[ser_indeks]]&gt;1),IFERROR(VALUE(OFFSET(Tabell1345[[#This Row],[rang_synk]],-1,0)),0)+1,VALUE($CH$3)-1)-Tabell1345[[#This Row],[rang_samme]]</f>
        <v>0</v>
      </c>
      <c r="BE39">
        <f ca="1">MAXA(Tabell1345[[#This Row],[rang_stig]:[rang_synk]])</f>
        <v>1</v>
      </c>
      <c r="BF39">
        <f ca="1">($CH$2-1)+_xlfn.AGGREGATE(9,6,Tabell1345[[#This Row],[rang_samme]]:OFFSET(Tabell1345[[#This Row],[rang_samme]],($CH$2-1),0))</f>
        <v>5</v>
      </c>
      <c r="BG39" t="e">
        <f ca="1">IF($G$9="ja",IF(MAXA(Tabell1345[[#This Row],[rang_stigsynk]]:INDIRECT(ADDRESS(ROW(Tabell1345[[#This Row],[rang_stigsynk]])+Tabell1345[[#This Row],[trend_omr]],COLUMN(Tabell1345[[#This Row],[rang_stigsynk]]))))&gt;($CH$2-2),Tabell1345[[#This Row],[Verdi_korrigert_IT]],NA()),NA())</f>
        <v>#N/A</v>
      </c>
      <c r="BH39" s="5">
        <f ca="1">IF(Tabell1345[[#This Row],[ser_indeks]]&gt;3,_xlfn.AGGREGATE(4,4,OFFSET(Tabell1345[[#This Row],[Verdi1]],-3,Tabell1345[[#This Row],[serie_nr]]-1):OFFSET(Tabell1345[[#This Row],[Verdi1]],4,Tabell1345[[#This Row],[serie_nr]]-1)),NA())</f>
        <v>100</v>
      </c>
      <c r="BI39" s="5">
        <f ca="1">IF(Tabell1345[[#This Row],[ser_indeks]]&gt;3,_xlfn.AGGREGATE(5,4,OFFSET(Tabell1345[[#This Row],[Verdi1]],-3,Tabell1345[[#This Row],[serie_nr]]-1):OFFSET(Tabell1345[[#This Row],[Verdi1]],4,Tabell1345[[#This Row],[serie_nr]]-1)),NA())</f>
        <v>4</v>
      </c>
      <c r="BJ39" s="5" t="e">
        <f ca="1">IF(_xlfn.AGGREGATE(4,6,Tabell1345[[#This Row],[til_brudd_rader]]:OFFSET(Tabell1345[[#This Row],[til_brudd_rader]],3,0))&gt;0,NA(),IF(Tabell1345[[#This Row],[skifte_lav1]]&lt;Tabell1345[[#This Row],[Snitt]],Tabell1345[[#This Row],[Verdi_korrigert_IT]],NA()))</f>
        <v>#N/A</v>
      </c>
      <c r="BK39" s="5" t="e">
        <f ca="1">IF(_xlfn.AGGREGATE(4,6,Tabell1345[[#This Row],[til_brudd_rader]]:OFFSET(Tabell1345[[#This Row],[til_brudd_rader]],3,0))&gt;0,NA(),IF(Tabell1345[[#This Row],[skifte_høy1]]&gt;Tabell1345[[#This Row],[Snitt]],Tabell1345[[#This Row],[Verdi_korrigert_IT]],NA()))</f>
        <v>#N/A</v>
      </c>
      <c r="BL39" t="e">
        <f ca="1">IF($G$9="ja",IFERROR(IF(_xlfn.AGGREGATE(4,6,OFFSET(Tabell1345[[#This Row],[skifte_lav2]],-4,0):OFFSET(Tabell1345[[#This Row],[skifte_lav2]],3,1))&gt;0,Tabell1345[[#This Row],[Verdi_korrigert_IT]],NA()),NA()),NA())</f>
        <v>#N/A</v>
      </c>
      <c r="BM39" t="e">
        <f ca="1">IF($G$9="ja",IF(OR(Tabell1345[[#This Row],[Verdi_korrigert_IT]]&gt;Tabell1345[[#This Row],[UCL]],Tabell1345[[#This Row],[Verdi_korrigert_IT]]&lt;Tabell1345[[#This Row],[LCL]]),Tabell1345[[#This Row],[Verdi_korrigert_IT]],NA()),NA())</f>
        <v>#N/A</v>
      </c>
      <c r="BN39">
        <f>IF(Tabell1345[[#This Row],[Brudd]]="x","",Tabell1345[[#This Row],[Verdi]])</f>
        <v>58</v>
      </c>
      <c r="BO39">
        <f>IF(Tabell1345[[#This Row],[Brudd]]="x",NA(),Tabell1345[[#This Row],[Verdi]])</f>
        <v>58</v>
      </c>
      <c r="BP39">
        <f ca="1">IF(ISERROR(Tabell1345[[#This Row],[Verdi_korrigert_IT]]),OFFSET(Tabell1345[[#This Row],[ForrigeGyldige]],-1,0),Tabell1345[[#This Row],[Verdi]])</f>
        <v>58</v>
      </c>
      <c r="BQ39">
        <f>Tabell1345[[#This Row],[Verdi]]</f>
        <v>58</v>
      </c>
    </row>
    <row r="40" spans="1:69" x14ac:dyDescent="0.35">
      <c r="A40">
        <f ca="1">IF(ISNUMBER(OFFSET(Tabell1345[[#This Row],[Nr]],-1,0)),OFFSET(Tabell1345[[#This Row],[Nr]],-1,0))+1</f>
        <v>26</v>
      </c>
      <c r="C40" s="36">
        <v>54</v>
      </c>
      <c r="H40" t="e">
        <f t="shared" si="7"/>
        <v>#N/A</v>
      </c>
      <c r="I40" t="b">
        <f>IF(OR(Tabell1345[[#This Row],[Brudd]]="*",ROW()-ROW(Tabell1345[#All])+1=ROWS(Tabell1345[#All])),ROW())</f>
        <v>0</v>
      </c>
      <c r="J40" s="2">
        <f ca="1">VLOOKUP(Tabell1345[[#This Row],[Nr]],$BV$2:$CB$11,4,TRUE)</f>
        <v>42.7</v>
      </c>
      <c r="K40" s="2">
        <f ca="1">VLOOKUP(Tabell1345[[#This Row],[Nr]],$BV$2:$CB$11,7,TRUE)</f>
        <v>-0.98000000000000398</v>
      </c>
      <c r="L40" s="2">
        <f ca="1">VLOOKUP(Tabell1345[[#This Row],[Nr]],$BV$2:$CB$11,6,TRUE)</f>
        <v>86.38000000000001</v>
      </c>
      <c r="M40">
        <f ca="1">IF(OR(Tabell1345[[#This Row],[Brudd]]="*",ISERROR(Tabell1345[[#This Row],[Verdi_korrigert_IT]])),"",IF(ISNUMBER(OFFSET(Tabell1345[[#This Row],[ForrigeGyldige]],-1,0)),ABS(Tabell1345[[#This Row],[Verdi_korrigert_IT]]-OFFSET(Tabell1345[[#This Row],[ForrigeGyldige]],-1,0)),""))</f>
        <v>4</v>
      </c>
      <c r="N40" t="e">
        <f ca="1">IF(VLOOKUP(Tabell1345[[#This Row],[Nr]],$BV$3:$CB$11,2,TRUE)=1,VLOOKUP(Tabell1345[[#This Row],[Nr]],$BV$3:$CB$11,4,TRUE),NA())</f>
        <v>#N/A</v>
      </c>
      <c r="O40">
        <f ca="1">IF(VLOOKUP(Tabell1345[[#This Row],[Nr]],$BV$3:$CB$11,2,TRUE)=2,VLOOKUP(Tabell1345[[#This Row],[Nr]],$BV$3:$CB$11,4,TRUE),NA())</f>
        <v>42.7</v>
      </c>
      <c r="P40" s="2" t="e">
        <f ca="1">IF(VLOOKUP(Tabell1345[[#This Row],[Nr]],$BV$3:$CB$11,2,TRUE)=3,VLOOKUP(Tabell1345[[#This Row],[Nr]],$BV$3:$CB$11,4,TRUE),NA())</f>
        <v>#N/A</v>
      </c>
      <c r="Q40" t="e">
        <f ca="1">IF(VLOOKUP(Tabell1345[[#This Row],[Nr]],$BV$3:$CB$11,2,TRUE)=4,VLOOKUP(Tabell1345[[#This Row],[Nr]],$BV$3:$CB$11,4,TRUE),NA())</f>
        <v>#N/A</v>
      </c>
      <c r="R40" t="e">
        <f ca="1">IF(VLOOKUP(Tabell1345[[#This Row],[Nr]],$BV$3:$CB$11,2,TRUE)=5,VLOOKUP(Tabell1345[[#This Row],[Nr]],$BV$3:$CB$11,4,TRUE),NA())</f>
        <v>#N/A</v>
      </c>
      <c r="S40" t="e">
        <f ca="1">IF(VLOOKUP(Tabell1345[[#This Row],[Nr]],$BV$3:$CB$11,2,TRUE)=6,VLOOKUP(Tabell1345[[#This Row],[Nr]],$BV$3:$CB$11,4,TRUE),NA())</f>
        <v>#N/A</v>
      </c>
      <c r="T40" t="e">
        <f ca="1">IF(VLOOKUP(Tabell1345[[#This Row],[Nr]],$BV$3:$CB$11,2,TRUE)=7,VLOOKUP(Tabell1345[[#This Row],[Nr]],$BV$3:$CB$11,4,TRUE),NA())</f>
        <v>#N/A</v>
      </c>
      <c r="U40" t="e">
        <f ca="1">IF(VLOOKUP(Tabell1345[[#This Row],[Nr]],$BV$3:$CB$11,2,TRUE)=1,VLOOKUP(Tabell1345[[#This Row],[Nr]],$BV$3:$CB$11,6,TRUE),NA())</f>
        <v>#N/A</v>
      </c>
      <c r="V40">
        <f ca="1">IF(VLOOKUP(Tabell1345[[#This Row],[Nr]],$BV$3:$CB$11,2,TRUE)=2,VLOOKUP(Tabell1345[[#This Row],[Nr]],$BV$3:$CB$11,6,TRUE),NA())</f>
        <v>86.38000000000001</v>
      </c>
      <c r="W40" t="e">
        <f ca="1">IF(VLOOKUP(Tabell1345[[#This Row],[Nr]],$BV$3:$CB$11,2,TRUE)=3,VLOOKUP(Tabell1345[[#This Row],[Nr]],$BV$3:$CB$11,6,TRUE),NA())</f>
        <v>#N/A</v>
      </c>
      <c r="X40" t="e">
        <f ca="1">IF(VLOOKUP(Tabell1345[[#This Row],[Nr]],$BV$3:$CB$11,2,TRUE)=4,VLOOKUP(Tabell1345[[#This Row],[Nr]],$BV$3:$CB$11,6,TRUE),NA())</f>
        <v>#N/A</v>
      </c>
      <c r="Y40" t="e">
        <f ca="1">IF(VLOOKUP(Tabell1345[[#This Row],[Nr]],$BV$3:$CB$11,2,TRUE)=5,VLOOKUP(Tabell1345[[#This Row],[Nr]],$BV$3:$CB$11,6,TRUE),NA())</f>
        <v>#N/A</v>
      </c>
      <c r="Z40" t="e">
        <f ca="1">IF(VLOOKUP(Tabell1345[[#This Row],[Nr]],$BV$3:$CB$11,2,TRUE)=6,VLOOKUP(Tabell1345[[#This Row],[Nr]],$BV$3:$CB$11,6,TRUE),NA())</f>
        <v>#N/A</v>
      </c>
      <c r="AA40" t="e">
        <f ca="1">IF(VLOOKUP(Tabell1345[[#This Row],[Nr]],$BV$3:$CB$11,2,TRUE)=7,VLOOKUP(Tabell1345[[#This Row],[Nr]],$BV$3:$CB$11,6,TRUE),NA())</f>
        <v>#N/A</v>
      </c>
      <c r="AB40" t="e">
        <f ca="1">IF(VLOOKUP(Tabell1345[[#This Row],[Nr]],$BV$3:$CB$11,2,TRUE)=1,VLOOKUP(Tabell1345[[#This Row],[Nr]],$BV$3:$CB$11,7,TRUE),NA())</f>
        <v>#N/A</v>
      </c>
      <c r="AC40">
        <f ca="1">IF(VLOOKUP(Tabell1345[[#This Row],[Nr]],$BV$3:$CB$11,2,TRUE)=2,VLOOKUP(Tabell1345[[#This Row],[Nr]],$BV$3:$CB$11,7,TRUE),NA())</f>
        <v>-0.98000000000000398</v>
      </c>
      <c r="AD40" t="e">
        <f ca="1">IF(VLOOKUP(Tabell1345[[#This Row],[Nr]],$BV$3:$CB$11,2,TRUE)=3,VLOOKUP(Tabell1345[[#This Row],[Nr]],$BV$3:$CB$11,7,TRUE),NA())</f>
        <v>#N/A</v>
      </c>
      <c r="AE40" t="e">
        <f ca="1">IF(VLOOKUP(Tabell1345[[#This Row],[Nr]],$BV$3:$CB$11,2,TRUE)=4,VLOOKUP(Tabell1345[[#This Row],[Nr]],$BV$3:$CB$11,7,TRUE),NA())</f>
        <v>#N/A</v>
      </c>
      <c r="AF40" t="e">
        <f ca="1">IF(VLOOKUP(Tabell1345[[#This Row],[Nr]],$BV$3:$CB$11,2,TRUE)=5,VLOOKUP(Tabell1345[[#This Row],[Nr]],$BV$3:$CB$11,7,TRUE),NA())</f>
        <v>#N/A</v>
      </c>
      <c r="AG40" t="e">
        <f ca="1">IF(VLOOKUP(Tabell1345[[#This Row],[Nr]],$BV$3:$CB$11,2,TRUE)=6,VLOOKUP(Tabell1345[[#This Row],[Nr]],$BV$3:$CB$11,7,TRUE),NA())</f>
        <v>#N/A</v>
      </c>
      <c r="AH40" t="e">
        <f ca="1">IF(VLOOKUP(Tabell1345[[#This Row],[Nr]],$BV$3:$CB$11,2,TRUE)=7,VLOOKUP(Tabell1345[[#This Row],[Nr]],$BV$3:$CB$11,7,TRUE),NA())</f>
        <v>#N/A</v>
      </c>
      <c r="AI40" t="e">
        <f ca="1">IF(VLOOKUP(Tabell1345[[#This Row],[Nr]],$BV$3:$CB$11,2,TRUE)=1,VLOOKUP(Tabell1345[[#This Row],[Nr]],$BV$3:$CB$11,5,TRUE),NA())</f>
        <v>#N/A</v>
      </c>
      <c r="AJ40">
        <f ca="1">IF(VLOOKUP(Tabell1345[[#This Row],[Nr]],$BV$3:$CB$11,2,TRUE)=2,VLOOKUP(Tabell1345[[#This Row],[Nr]],$BV$3:$CB$11,5,TRUE),NA())</f>
        <v>40.5</v>
      </c>
      <c r="AK40" t="e">
        <f ca="1">IF(VLOOKUP(Tabell1345[[#This Row],[Nr]],$BV$3:$CB$11,2,TRUE)=3,VLOOKUP(Tabell1345[[#This Row],[Nr]],$BV$3:$CB$11,5,TRUE),NA())</f>
        <v>#N/A</v>
      </c>
      <c r="AL40" t="e">
        <f ca="1">IF(VLOOKUP(Tabell1345[[#This Row],[Nr]],$BV$3:$CB$11,2,TRUE)=4,VLOOKUP(Tabell1345[[#This Row],[Nr]],$BV$3:$CB$11,5,TRUE),NA())</f>
        <v>#N/A</v>
      </c>
      <c r="AM40" t="e">
        <f ca="1">IF(VLOOKUP(Tabell1345[[#This Row],[Nr]],$BV$3:$CB$11,2,TRUE)=5,VLOOKUP(Tabell1345[[#This Row],[Nr]],$BV$3:$CB$11,5,TRUE),NA())</f>
        <v>#N/A</v>
      </c>
      <c r="AN40" t="e">
        <f ca="1">IF(VLOOKUP(Tabell1345[[#This Row],[Nr]],$BV$3:$CB$11,2,TRUE)=6,VLOOKUP(Tabell1345[[#This Row],[Nr]],$BV$3:$CB$11,5,TRUE),NA())</f>
        <v>#N/A</v>
      </c>
      <c r="AO40" t="e">
        <f ca="1">IF(VLOOKUP(Tabell1345[[#This Row],[Nr]],$BV$3:$CB$11,2,TRUE)=7,VLOOKUP(Tabell1345[[#This Row],[Nr]],$BV$3:$CB$11,5,TRUE),NA())</f>
        <v>#N/A</v>
      </c>
      <c r="AP40" t="e">
        <f ca="1">IF(VLOOKUP(Tabell1345[[#This Row],[Nr]],$BV$3:$CB$11,2,TRUE)=1,Tabell1345[[#This Row],[Verdi_korrigert_IT]],NA())</f>
        <v>#N/A</v>
      </c>
      <c r="AQ40">
        <f ca="1">IF(VLOOKUP(Tabell1345[[#This Row],[Nr]],$BV$3:$CB$11,2,TRUE)=2,Tabell1345[[#This Row],[Verdi_korrigert_IT]],NA())</f>
        <v>54</v>
      </c>
      <c r="AR40" t="e">
        <f ca="1">IF(VLOOKUP(Tabell1345[[#This Row],[Nr]],$BV$3:$CB$11,2,TRUE)=3,Tabell1345[[#This Row],[Verdi_korrigert_IT]],NA())</f>
        <v>#N/A</v>
      </c>
      <c r="AS40" t="e">
        <f ca="1">IF(VLOOKUP(Tabell1345[[#This Row],[Nr]],$BV$3:$CB$11,2,TRUE)=4,Tabell1345[[#This Row],[Verdi_korrigert_IT]],NA())</f>
        <v>#N/A</v>
      </c>
      <c r="AT40" t="e">
        <f ca="1">IF(VLOOKUP(Tabell1345[[#This Row],[Nr]],$BV$3:$CB$11,2,TRUE)=5,Tabell1345[[#This Row],[Verdi_korrigert_IT]],NA())</f>
        <v>#N/A</v>
      </c>
      <c r="AU40" t="e">
        <f ca="1">IF(VLOOKUP(Tabell1345[[#This Row],[Nr]],$BV$3:$CB$11,2,TRUE)=6,Tabell1345[[#This Row],[Verdi_korrigert_IT]],NA())</f>
        <v>#N/A</v>
      </c>
      <c r="AV40" t="e">
        <f ca="1">IF(VLOOKUP(Tabell1345[[#This Row],[Nr]],$BV$3:$CB$11,2,TRUE)=7,Tabell1345[[#This Row],[Verdi_korrigert_IT]],NA())</f>
        <v>#N/A</v>
      </c>
      <c r="AW40">
        <f ca="1">IF(Tabell1345[[#This Row],[Brudd]]&lt;&gt;"*",IF(ISNUMBER(OFFSET(Tabell1345[[#This Row],[ser_indeks]],-1,0)),OFFSET(Tabell1345[[#This Row],[ser_indeks]],-1,0),0),0)+1</f>
        <v>13</v>
      </c>
      <c r="AX40">
        <f ca="1">VLOOKUP(Tabell1345[[#This Row],[Nr]],$BV$2:$BW$9,2,TRUE)</f>
        <v>2</v>
      </c>
      <c r="AY40">
        <f ca="1">IF(OFFSET(Tabell1345[[#This Row],[ser_indeks]],1,0)&lt;Tabell1345[[#This Row],[ser_indeks]],1,0)</f>
        <v>0</v>
      </c>
      <c r="AZ40">
        <f ca="1">IFERROR(VALUE(Tabell1345[[#This Row],[Verdi_korrigert_IT]]),OFFSET(Tabell1345[[#This Row],[verdi_korrigert]],-1,0))</f>
        <v>54</v>
      </c>
      <c r="BA40">
        <f ca="1">_xlfn.RANK.AVG(Tabell1345[[#This Row],[verdi_korrigert]],Tabell1345[verdi_korrigert],1)</f>
        <v>28</v>
      </c>
      <c r="BB40">
        <f ca="1">IF(Tabell1345[[#This Row],[rang]]=OFFSET(Tabell1345[[#This Row],[rang]],1,0),1,0)</f>
        <v>0</v>
      </c>
      <c r="BC40">
        <f ca="1">IF(AND(Tabell1345[[#This Row],[rang]]&gt;=OFFSET(Tabell1345[[#This Row],[rang]],-1,0),Tabell1345[[#This Row],[ser_indeks]]&gt;1),IFERROR(VALUE(OFFSET(Tabell1345[[#This Row],[rang_stig]],-1,0)),0)+1,VALUE($CH$3)-1)-Tabell1345[[#This Row],[rang_samme]]</f>
        <v>0</v>
      </c>
      <c r="BD40">
        <f ca="1">IF(AND(Tabell1345[[#This Row],[rang]]&lt;=OFFSET(Tabell1345[[#This Row],[rang]],-1,0),Tabell1345[[#This Row],[ser_indeks]]&gt;1),IFERROR(VALUE(OFFSET(Tabell1345[[#This Row],[rang_synk]],-1,0)),0)+1,VALUE($CH$3)-1)-Tabell1345[[#This Row],[rang_samme]]</f>
        <v>1</v>
      </c>
      <c r="BE40">
        <f ca="1">MAXA(Tabell1345[[#This Row],[rang_stig]:[rang_synk]])</f>
        <v>1</v>
      </c>
      <c r="BF40">
        <f ca="1">($CH$2-1)+_xlfn.AGGREGATE(9,6,Tabell1345[[#This Row],[rang_samme]]:OFFSET(Tabell1345[[#This Row],[rang_samme]],($CH$2-1),0))</f>
        <v>5</v>
      </c>
      <c r="BG40" t="e">
        <f ca="1">IF($G$9="ja",IF(MAXA(Tabell1345[[#This Row],[rang_stigsynk]]:INDIRECT(ADDRESS(ROW(Tabell1345[[#This Row],[rang_stigsynk]])+Tabell1345[[#This Row],[trend_omr]],COLUMN(Tabell1345[[#This Row],[rang_stigsynk]]))))&gt;($CH$2-2),Tabell1345[[#This Row],[Verdi_korrigert_IT]],NA()),NA())</f>
        <v>#N/A</v>
      </c>
      <c r="BH40" s="5">
        <f ca="1">IF(Tabell1345[[#This Row],[ser_indeks]]&gt;3,_xlfn.AGGREGATE(4,4,OFFSET(Tabell1345[[#This Row],[Verdi1]],-3,Tabell1345[[#This Row],[serie_nr]]-1):OFFSET(Tabell1345[[#This Row],[Verdi1]],4,Tabell1345[[#This Row],[serie_nr]]-1)),NA())</f>
        <v>58</v>
      </c>
      <c r="BI40" s="5">
        <f ca="1">IF(Tabell1345[[#This Row],[ser_indeks]]&gt;3,_xlfn.AGGREGATE(5,4,OFFSET(Tabell1345[[#This Row],[Verdi1]],-3,Tabell1345[[#This Row],[serie_nr]]-1):OFFSET(Tabell1345[[#This Row],[Verdi1]],4,Tabell1345[[#This Row],[serie_nr]]-1)),NA())</f>
        <v>4</v>
      </c>
      <c r="BJ40" s="5" t="e">
        <f ca="1">IF(_xlfn.AGGREGATE(4,6,Tabell1345[[#This Row],[til_brudd_rader]]:OFFSET(Tabell1345[[#This Row],[til_brudd_rader]],3,0))&gt;0,NA(),IF(Tabell1345[[#This Row],[skifte_lav1]]&lt;Tabell1345[[#This Row],[Snitt]],Tabell1345[[#This Row],[Verdi_korrigert_IT]],NA()))</f>
        <v>#N/A</v>
      </c>
      <c r="BK40" s="5" t="e">
        <f ca="1">IF(_xlfn.AGGREGATE(4,6,Tabell1345[[#This Row],[til_brudd_rader]]:OFFSET(Tabell1345[[#This Row],[til_brudd_rader]],3,0))&gt;0,NA(),IF(Tabell1345[[#This Row],[skifte_høy1]]&gt;Tabell1345[[#This Row],[Snitt]],Tabell1345[[#This Row],[Verdi_korrigert_IT]],NA()))</f>
        <v>#N/A</v>
      </c>
      <c r="BL40" t="e">
        <f ca="1">IF($G$9="ja",IFERROR(IF(_xlfn.AGGREGATE(4,6,OFFSET(Tabell1345[[#This Row],[skifte_lav2]],-4,0):OFFSET(Tabell1345[[#This Row],[skifte_lav2]],3,1))&gt;0,Tabell1345[[#This Row],[Verdi_korrigert_IT]],NA()),NA()),NA())</f>
        <v>#N/A</v>
      </c>
      <c r="BM40" t="e">
        <f ca="1">IF($G$9="ja",IF(OR(Tabell1345[[#This Row],[Verdi_korrigert_IT]]&gt;Tabell1345[[#This Row],[UCL]],Tabell1345[[#This Row],[Verdi_korrigert_IT]]&lt;Tabell1345[[#This Row],[LCL]]),Tabell1345[[#This Row],[Verdi_korrigert_IT]],NA()),NA())</f>
        <v>#N/A</v>
      </c>
      <c r="BN40">
        <f>IF(Tabell1345[[#This Row],[Brudd]]="x","",Tabell1345[[#This Row],[Verdi]])</f>
        <v>54</v>
      </c>
      <c r="BO40">
        <f>IF(Tabell1345[[#This Row],[Brudd]]="x",NA(),Tabell1345[[#This Row],[Verdi]])</f>
        <v>54</v>
      </c>
      <c r="BP40">
        <f ca="1">IF(ISERROR(Tabell1345[[#This Row],[Verdi_korrigert_IT]]),OFFSET(Tabell1345[[#This Row],[ForrigeGyldige]],-1,0),Tabell1345[[#This Row],[Verdi]])</f>
        <v>54</v>
      </c>
      <c r="BQ40">
        <f>Tabell1345[[#This Row],[Verdi]]</f>
        <v>54</v>
      </c>
    </row>
    <row r="41" spans="1:69" x14ac:dyDescent="0.35">
      <c r="A41">
        <f ca="1">IF(ISNUMBER(OFFSET(Tabell1345[[#This Row],[Nr]],-1,0)),OFFSET(Tabell1345[[#This Row],[Nr]],-1,0))+1</f>
        <v>27</v>
      </c>
      <c r="C41" s="36">
        <v>42</v>
      </c>
      <c r="H41" t="e">
        <f t="shared" si="7"/>
        <v>#N/A</v>
      </c>
      <c r="I41" t="b">
        <f>IF(OR(Tabell1345[[#This Row],[Brudd]]="*",ROW()-ROW(Tabell1345[#All])+1=ROWS(Tabell1345[#All])),ROW())</f>
        <v>0</v>
      </c>
      <c r="J41" s="2">
        <f ca="1">VLOOKUP(Tabell1345[[#This Row],[Nr]],$BV$2:$CB$11,4,TRUE)</f>
        <v>42.7</v>
      </c>
      <c r="K41" s="2">
        <f ca="1">VLOOKUP(Tabell1345[[#This Row],[Nr]],$BV$2:$CB$11,7,TRUE)</f>
        <v>-0.98000000000000398</v>
      </c>
      <c r="L41" s="2">
        <f ca="1">VLOOKUP(Tabell1345[[#This Row],[Nr]],$BV$2:$CB$11,6,TRUE)</f>
        <v>86.38000000000001</v>
      </c>
      <c r="M41">
        <f ca="1">IF(OR(Tabell1345[[#This Row],[Brudd]]="*",ISERROR(Tabell1345[[#This Row],[Verdi_korrigert_IT]])),"",IF(ISNUMBER(OFFSET(Tabell1345[[#This Row],[ForrigeGyldige]],-1,0)),ABS(Tabell1345[[#This Row],[Verdi_korrigert_IT]]-OFFSET(Tabell1345[[#This Row],[ForrigeGyldige]],-1,0)),""))</f>
        <v>12</v>
      </c>
      <c r="N41" t="e">
        <f ca="1">IF(VLOOKUP(Tabell1345[[#This Row],[Nr]],$BV$3:$CB$11,2,TRUE)=1,VLOOKUP(Tabell1345[[#This Row],[Nr]],$BV$3:$CB$11,4,TRUE),NA())</f>
        <v>#N/A</v>
      </c>
      <c r="O41">
        <f ca="1">IF(VLOOKUP(Tabell1345[[#This Row],[Nr]],$BV$3:$CB$11,2,TRUE)=2,VLOOKUP(Tabell1345[[#This Row],[Nr]],$BV$3:$CB$11,4,TRUE),NA())</f>
        <v>42.7</v>
      </c>
      <c r="P41" s="2" t="e">
        <f ca="1">IF(VLOOKUP(Tabell1345[[#This Row],[Nr]],$BV$3:$CB$11,2,TRUE)=3,VLOOKUP(Tabell1345[[#This Row],[Nr]],$BV$3:$CB$11,4,TRUE),NA())</f>
        <v>#N/A</v>
      </c>
      <c r="Q41" t="e">
        <f ca="1">IF(VLOOKUP(Tabell1345[[#This Row],[Nr]],$BV$3:$CB$11,2,TRUE)=4,VLOOKUP(Tabell1345[[#This Row],[Nr]],$BV$3:$CB$11,4,TRUE),NA())</f>
        <v>#N/A</v>
      </c>
      <c r="R41" t="e">
        <f ca="1">IF(VLOOKUP(Tabell1345[[#This Row],[Nr]],$BV$3:$CB$11,2,TRUE)=5,VLOOKUP(Tabell1345[[#This Row],[Nr]],$BV$3:$CB$11,4,TRUE),NA())</f>
        <v>#N/A</v>
      </c>
      <c r="S41" t="e">
        <f ca="1">IF(VLOOKUP(Tabell1345[[#This Row],[Nr]],$BV$3:$CB$11,2,TRUE)=6,VLOOKUP(Tabell1345[[#This Row],[Nr]],$BV$3:$CB$11,4,TRUE),NA())</f>
        <v>#N/A</v>
      </c>
      <c r="T41" t="e">
        <f ca="1">IF(VLOOKUP(Tabell1345[[#This Row],[Nr]],$BV$3:$CB$11,2,TRUE)=7,VLOOKUP(Tabell1345[[#This Row],[Nr]],$BV$3:$CB$11,4,TRUE),NA())</f>
        <v>#N/A</v>
      </c>
      <c r="U41" t="e">
        <f ca="1">IF(VLOOKUP(Tabell1345[[#This Row],[Nr]],$BV$3:$CB$11,2,TRUE)=1,VLOOKUP(Tabell1345[[#This Row],[Nr]],$BV$3:$CB$11,6,TRUE),NA())</f>
        <v>#N/A</v>
      </c>
      <c r="V41">
        <f ca="1">IF(VLOOKUP(Tabell1345[[#This Row],[Nr]],$BV$3:$CB$11,2,TRUE)=2,VLOOKUP(Tabell1345[[#This Row],[Nr]],$BV$3:$CB$11,6,TRUE),NA())</f>
        <v>86.38000000000001</v>
      </c>
      <c r="W41" t="e">
        <f ca="1">IF(VLOOKUP(Tabell1345[[#This Row],[Nr]],$BV$3:$CB$11,2,TRUE)=3,VLOOKUP(Tabell1345[[#This Row],[Nr]],$BV$3:$CB$11,6,TRUE),NA())</f>
        <v>#N/A</v>
      </c>
      <c r="X41" t="e">
        <f ca="1">IF(VLOOKUP(Tabell1345[[#This Row],[Nr]],$BV$3:$CB$11,2,TRUE)=4,VLOOKUP(Tabell1345[[#This Row],[Nr]],$BV$3:$CB$11,6,TRUE),NA())</f>
        <v>#N/A</v>
      </c>
      <c r="Y41" t="e">
        <f ca="1">IF(VLOOKUP(Tabell1345[[#This Row],[Nr]],$BV$3:$CB$11,2,TRUE)=5,VLOOKUP(Tabell1345[[#This Row],[Nr]],$BV$3:$CB$11,6,TRUE),NA())</f>
        <v>#N/A</v>
      </c>
      <c r="Z41" t="e">
        <f ca="1">IF(VLOOKUP(Tabell1345[[#This Row],[Nr]],$BV$3:$CB$11,2,TRUE)=6,VLOOKUP(Tabell1345[[#This Row],[Nr]],$BV$3:$CB$11,6,TRUE),NA())</f>
        <v>#N/A</v>
      </c>
      <c r="AA41" t="e">
        <f ca="1">IF(VLOOKUP(Tabell1345[[#This Row],[Nr]],$BV$3:$CB$11,2,TRUE)=7,VLOOKUP(Tabell1345[[#This Row],[Nr]],$BV$3:$CB$11,6,TRUE),NA())</f>
        <v>#N/A</v>
      </c>
      <c r="AB41" t="e">
        <f ca="1">IF(VLOOKUP(Tabell1345[[#This Row],[Nr]],$BV$3:$CB$11,2,TRUE)=1,VLOOKUP(Tabell1345[[#This Row],[Nr]],$BV$3:$CB$11,7,TRUE),NA())</f>
        <v>#N/A</v>
      </c>
      <c r="AC41">
        <f ca="1">IF(VLOOKUP(Tabell1345[[#This Row],[Nr]],$BV$3:$CB$11,2,TRUE)=2,VLOOKUP(Tabell1345[[#This Row],[Nr]],$BV$3:$CB$11,7,TRUE),NA())</f>
        <v>-0.98000000000000398</v>
      </c>
      <c r="AD41" t="e">
        <f ca="1">IF(VLOOKUP(Tabell1345[[#This Row],[Nr]],$BV$3:$CB$11,2,TRUE)=3,VLOOKUP(Tabell1345[[#This Row],[Nr]],$BV$3:$CB$11,7,TRUE),NA())</f>
        <v>#N/A</v>
      </c>
      <c r="AE41" t="e">
        <f ca="1">IF(VLOOKUP(Tabell1345[[#This Row],[Nr]],$BV$3:$CB$11,2,TRUE)=4,VLOOKUP(Tabell1345[[#This Row],[Nr]],$BV$3:$CB$11,7,TRUE),NA())</f>
        <v>#N/A</v>
      </c>
      <c r="AF41" t="e">
        <f ca="1">IF(VLOOKUP(Tabell1345[[#This Row],[Nr]],$BV$3:$CB$11,2,TRUE)=5,VLOOKUP(Tabell1345[[#This Row],[Nr]],$BV$3:$CB$11,7,TRUE),NA())</f>
        <v>#N/A</v>
      </c>
      <c r="AG41" t="e">
        <f ca="1">IF(VLOOKUP(Tabell1345[[#This Row],[Nr]],$BV$3:$CB$11,2,TRUE)=6,VLOOKUP(Tabell1345[[#This Row],[Nr]],$BV$3:$CB$11,7,TRUE),NA())</f>
        <v>#N/A</v>
      </c>
      <c r="AH41" t="e">
        <f ca="1">IF(VLOOKUP(Tabell1345[[#This Row],[Nr]],$BV$3:$CB$11,2,TRUE)=7,VLOOKUP(Tabell1345[[#This Row],[Nr]],$BV$3:$CB$11,7,TRUE),NA())</f>
        <v>#N/A</v>
      </c>
      <c r="AI41" t="e">
        <f ca="1">IF(VLOOKUP(Tabell1345[[#This Row],[Nr]],$BV$3:$CB$11,2,TRUE)=1,VLOOKUP(Tabell1345[[#This Row],[Nr]],$BV$3:$CB$11,5,TRUE),NA())</f>
        <v>#N/A</v>
      </c>
      <c r="AJ41">
        <f ca="1">IF(VLOOKUP(Tabell1345[[#This Row],[Nr]],$BV$3:$CB$11,2,TRUE)=2,VLOOKUP(Tabell1345[[#This Row],[Nr]],$BV$3:$CB$11,5,TRUE),NA())</f>
        <v>40.5</v>
      </c>
      <c r="AK41" t="e">
        <f ca="1">IF(VLOOKUP(Tabell1345[[#This Row],[Nr]],$BV$3:$CB$11,2,TRUE)=3,VLOOKUP(Tabell1345[[#This Row],[Nr]],$BV$3:$CB$11,5,TRUE),NA())</f>
        <v>#N/A</v>
      </c>
      <c r="AL41" t="e">
        <f ca="1">IF(VLOOKUP(Tabell1345[[#This Row],[Nr]],$BV$3:$CB$11,2,TRUE)=4,VLOOKUP(Tabell1345[[#This Row],[Nr]],$BV$3:$CB$11,5,TRUE),NA())</f>
        <v>#N/A</v>
      </c>
      <c r="AM41" t="e">
        <f ca="1">IF(VLOOKUP(Tabell1345[[#This Row],[Nr]],$BV$3:$CB$11,2,TRUE)=5,VLOOKUP(Tabell1345[[#This Row],[Nr]],$BV$3:$CB$11,5,TRUE),NA())</f>
        <v>#N/A</v>
      </c>
      <c r="AN41" t="e">
        <f ca="1">IF(VLOOKUP(Tabell1345[[#This Row],[Nr]],$BV$3:$CB$11,2,TRUE)=6,VLOOKUP(Tabell1345[[#This Row],[Nr]],$BV$3:$CB$11,5,TRUE),NA())</f>
        <v>#N/A</v>
      </c>
      <c r="AO41" t="e">
        <f ca="1">IF(VLOOKUP(Tabell1345[[#This Row],[Nr]],$BV$3:$CB$11,2,TRUE)=7,VLOOKUP(Tabell1345[[#This Row],[Nr]],$BV$3:$CB$11,5,TRUE),NA())</f>
        <v>#N/A</v>
      </c>
      <c r="AP41" t="e">
        <f ca="1">IF(VLOOKUP(Tabell1345[[#This Row],[Nr]],$BV$3:$CB$11,2,TRUE)=1,Tabell1345[[#This Row],[Verdi_korrigert_IT]],NA())</f>
        <v>#N/A</v>
      </c>
      <c r="AQ41">
        <f ca="1">IF(VLOOKUP(Tabell1345[[#This Row],[Nr]],$BV$3:$CB$11,2,TRUE)=2,Tabell1345[[#This Row],[Verdi_korrigert_IT]],NA())</f>
        <v>42</v>
      </c>
      <c r="AR41" t="e">
        <f ca="1">IF(VLOOKUP(Tabell1345[[#This Row],[Nr]],$BV$3:$CB$11,2,TRUE)=3,Tabell1345[[#This Row],[Verdi_korrigert_IT]],NA())</f>
        <v>#N/A</v>
      </c>
      <c r="AS41" t="e">
        <f ca="1">IF(VLOOKUP(Tabell1345[[#This Row],[Nr]],$BV$3:$CB$11,2,TRUE)=4,Tabell1345[[#This Row],[Verdi_korrigert_IT]],NA())</f>
        <v>#N/A</v>
      </c>
      <c r="AT41" t="e">
        <f ca="1">IF(VLOOKUP(Tabell1345[[#This Row],[Nr]],$BV$3:$CB$11,2,TRUE)=5,Tabell1345[[#This Row],[Verdi_korrigert_IT]],NA())</f>
        <v>#N/A</v>
      </c>
      <c r="AU41" t="e">
        <f ca="1">IF(VLOOKUP(Tabell1345[[#This Row],[Nr]],$BV$3:$CB$11,2,TRUE)=6,Tabell1345[[#This Row],[Verdi_korrigert_IT]],NA())</f>
        <v>#N/A</v>
      </c>
      <c r="AV41" t="e">
        <f ca="1">IF(VLOOKUP(Tabell1345[[#This Row],[Nr]],$BV$3:$CB$11,2,TRUE)=7,Tabell1345[[#This Row],[Verdi_korrigert_IT]],NA())</f>
        <v>#N/A</v>
      </c>
      <c r="AW41">
        <f ca="1">IF(Tabell1345[[#This Row],[Brudd]]&lt;&gt;"*",IF(ISNUMBER(OFFSET(Tabell1345[[#This Row],[ser_indeks]],-1,0)),OFFSET(Tabell1345[[#This Row],[ser_indeks]],-1,0),0),0)+1</f>
        <v>14</v>
      </c>
      <c r="AX41">
        <f ca="1">VLOOKUP(Tabell1345[[#This Row],[Nr]],$BV$2:$BW$9,2,TRUE)</f>
        <v>2</v>
      </c>
      <c r="AY41">
        <f ca="1">IF(OFFSET(Tabell1345[[#This Row],[ser_indeks]],1,0)&lt;Tabell1345[[#This Row],[ser_indeks]],1,0)</f>
        <v>0</v>
      </c>
      <c r="AZ41">
        <f ca="1">IFERROR(VALUE(Tabell1345[[#This Row],[Verdi_korrigert_IT]]),OFFSET(Tabell1345[[#This Row],[verdi_korrigert]],-1,0))</f>
        <v>42</v>
      </c>
      <c r="BA41">
        <f ca="1">_xlfn.RANK.AVG(Tabell1345[[#This Row],[verdi_korrigert]],Tabell1345[verdi_korrigert],1)</f>
        <v>11.5</v>
      </c>
      <c r="BB41">
        <f ca="1">IF(Tabell1345[[#This Row],[rang]]=OFFSET(Tabell1345[[#This Row],[rang]],1,0),1,0)</f>
        <v>0</v>
      </c>
      <c r="BC41">
        <f ca="1">IF(AND(Tabell1345[[#This Row],[rang]]&gt;=OFFSET(Tabell1345[[#This Row],[rang]],-1,0),Tabell1345[[#This Row],[ser_indeks]]&gt;1),IFERROR(VALUE(OFFSET(Tabell1345[[#This Row],[rang_stig]],-1,0)),0)+1,VALUE($CH$3)-1)-Tabell1345[[#This Row],[rang_samme]]</f>
        <v>0</v>
      </c>
      <c r="BD41">
        <f ca="1">IF(AND(Tabell1345[[#This Row],[rang]]&lt;=OFFSET(Tabell1345[[#This Row],[rang]],-1,0),Tabell1345[[#This Row],[ser_indeks]]&gt;1),IFERROR(VALUE(OFFSET(Tabell1345[[#This Row],[rang_synk]],-1,0)),0)+1,VALUE($CH$3)-1)-Tabell1345[[#This Row],[rang_samme]]</f>
        <v>2</v>
      </c>
      <c r="BE41">
        <f ca="1">MAXA(Tabell1345[[#This Row],[rang_stig]:[rang_synk]])</f>
        <v>2</v>
      </c>
      <c r="BF41">
        <f ca="1">($CH$2-1)+_xlfn.AGGREGATE(9,6,Tabell1345[[#This Row],[rang_samme]]:OFFSET(Tabell1345[[#This Row],[rang_samme]],($CH$2-1),0))</f>
        <v>5</v>
      </c>
      <c r="BG41" t="e">
        <f ca="1">IF($G$9="ja",IF(MAXA(Tabell1345[[#This Row],[rang_stigsynk]]:INDIRECT(ADDRESS(ROW(Tabell1345[[#This Row],[rang_stigsynk]])+Tabell1345[[#This Row],[trend_omr]],COLUMN(Tabell1345[[#This Row],[rang_stigsynk]]))))&gt;($CH$2-2),Tabell1345[[#This Row],[Verdi_korrigert_IT]],NA()),NA())</f>
        <v>#N/A</v>
      </c>
      <c r="BH41" s="5">
        <f ca="1">IF(Tabell1345[[#This Row],[ser_indeks]]&gt;3,_xlfn.AGGREGATE(4,4,OFFSET(Tabell1345[[#This Row],[Verdi1]],-3,Tabell1345[[#This Row],[serie_nr]]-1):OFFSET(Tabell1345[[#This Row],[Verdi1]],4,Tabell1345[[#This Row],[serie_nr]]-1)),NA())</f>
        <v>58</v>
      </c>
      <c r="BI41" s="5">
        <f ca="1">IF(Tabell1345[[#This Row],[ser_indeks]]&gt;3,_xlfn.AGGREGATE(5,4,OFFSET(Tabell1345[[#This Row],[Verdi1]],-3,Tabell1345[[#This Row],[serie_nr]]-1):OFFSET(Tabell1345[[#This Row],[Verdi1]],4,Tabell1345[[#This Row],[serie_nr]]-1)),NA())</f>
        <v>4</v>
      </c>
      <c r="BJ41" s="5" t="e">
        <f ca="1">IF(_xlfn.AGGREGATE(4,6,Tabell1345[[#This Row],[til_brudd_rader]]:OFFSET(Tabell1345[[#This Row],[til_brudd_rader]],3,0))&gt;0,NA(),IF(Tabell1345[[#This Row],[skifte_lav1]]&lt;Tabell1345[[#This Row],[Snitt]],Tabell1345[[#This Row],[Verdi_korrigert_IT]],NA()))</f>
        <v>#N/A</v>
      </c>
      <c r="BK41" s="5" t="e">
        <f ca="1">IF(_xlfn.AGGREGATE(4,6,Tabell1345[[#This Row],[til_brudd_rader]]:OFFSET(Tabell1345[[#This Row],[til_brudd_rader]],3,0))&gt;0,NA(),IF(Tabell1345[[#This Row],[skifte_høy1]]&gt;Tabell1345[[#This Row],[Snitt]],Tabell1345[[#This Row],[Verdi_korrigert_IT]],NA()))</f>
        <v>#N/A</v>
      </c>
      <c r="BL41" t="e">
        <f ca="1">IF($G$9="ja",IFERROR(IF(_xlfn.AGGREGATE(4,6,OFFSET(Tabell1345[[#This Row],[skifte_lav2]],-4,0):OFFSET(Tabell1345[[#This Row],[skifte_lav2]],3,1))&gt;0,Tabell1345[[#This Row],[Verdi_korrigert_IT]],NA()),NA()),NA())</f>
        <v>#N/A</v>
      </c>
      <c r="BM41" t="e">
        <f ca="1">IF($G$9="ja",IF(OR(Tabell1345[[#This Row],[Verdi_korrigert_IT]]&gt;Tabell1345[[#This Row],[UCL]],Tabell1345[[#This Row],[Verdi_korrigert_IT]]&lt;Tabell1345[[#This Row],[LCL]]),Tabell1345[[#This Row],[Verdi_korrigert_IT]],NA()),NA())</f>
        <v>#N/A</v>
      </c>
      <c r="BN41">
        <f>IF(Tabell1345[[#This Row],[Brudd]]="x","",Tabell1345[[#This Row],[Verdi]])</f>
        <v>42</v>
      </c>
      <c r="BO41">
        <f>IF(Tabell1345[[#This Row],[Brudd]]="x",NA(),Tabell1345[[#This Row],[Verdi]])</f>
        <v>42</v>
      </c>
      <c r="BP41">
        <f ca="1">IF(ISERROR(Tabell1345[[#This Row],[Verdi_korrigert_IT]]),OFFSET(Tabell1345[[#This Row],[ForrigeGyldige]],-1,0),Tabell1345[[#This Row],[Verdi]])</f>
        <v>42</v>
      </c>
      <c r="BQ41">
        <f>Tabell1345[[#This Row],[Verdi]]</f>
        <v>42</v>
      </c>
    </row>
    <row r="42" spans="1:69" x14ac:dyDescent="0.35">
      <c r="A42">
        <f ca="1">IF(ISNUMBER(OFFSET(Tabell1345[[#This Row],[Nr]],-1,0)),OFFSET(Tabell1345[[#This Row],[Nr]],-1,0))+1</f>
        <v>28</v>
      </c>
      <c r="C42" s="36">
        <v>38</v>
      </c>
      <c r="H42" t="e">
        <f t="shared" si="7"/>
        <v>#N/A</v>
      </c>
      <c r="I42" t="b">
        <f>IF(OR(Tabell1345[[#This Row],[Brudd]]="*",ROW()-ROW(Tabell1345[#All])+1=ROWS(Tabell1345[#All])),ROW())</f>
        <v>0</v>
      </c>
      <c r="J42" s="2">
        <f ca="1">VLOOKUP(Tabell1345[[#This Row],[Nr]],$BV$2:$CB$11,4,TRUE)</f>
        <v>42.7</v>
      </c>
      <c r="K42" s="2">
        <f ca="1">VLOOKUP(Tabell1345[[#This Row],[Nr]],$BV$2:$CB$11,7,TRUE)</f>
        <v>-0.98000000000000398</v>
      </c>
      <c r="L42" s="2">
        <f ca="1">VLOOKUP(Tabell1345[[#This Row],[Nr]],$BV$2:$CB$11,6,TRUE)</f>
        <v>86.38000000000001</v>
      </c>
      <c r="M42">
        <f ca="1">IF(OR(Tabell1345[[#This Row],[Brudd]]="*",ISERROR(Tabell1345[[#This Row],[Verdi_korrigert_IT]])),"",IF(ISNUMBER(OFFSET(Tabell1345[[#This Row],[ForrigeGyldige]],-1,0)),ABS(Tabell1345[[#This Row],[Verdi_korrigert_IT]]-OFFSET(Tabell1345[[#This Row],[ForrigeGyldige]],-1,0)),""))</f>
        <v>4</v>
      </c>
      <c r="N42" t="e">
        <f ca="1">IF(VLOOKUP(Tabell1345[[#This Row],[Nr]],$BV$3:$CB$11,2,TRUE)=1,VLOOKUP(Tabell1345[[#This Row],[Nr]],$BV$3:$CB$11,4,TRUE),NA())</f>
        <v>#N/A</v>
      </c>
      <c r="O42">
        <f ca="1">IF(VLOOKUP(Tabell1345[[#This Row],[Nr]],$BV$3:$CB$11,2,TRUE)=2,VLOOKUP(Tabell1345[[#This Row],[Nr]],$BV$3:$CB$11,4,TRUE),NA())</f>
        <v>42.7</v>
      </c>
      <c r="P42" s="2" t="e">
        <f ca="1">IF(VLOOKUP(Tabell1345[[#This Row],[Nr]],$BV$3:$CB$11,2,TRUE)=3,VLOOKUP(Tabell1345[[#This Row],[Nr]],$BV$3:$CB$11,4,TRUE),NA())</f>
        <v>#N/A</v>
      </c>
      <c r="Q42" t="e">
        <f ca="1">IF(VLOOKUP(Tabell1345[[#This Row],[Nr]],$BV$3:$CB$11,2,TRUE)=4,VLOOKUP(Tabell1345[[#This Row],[Nr]],$BV$3:$CB$11,4,TRUE),NA())</f>
        <v>#N/A</v>
      </c>
      <c r="R42" t="e">
        <f ca="1">IF(VLOOKUP(Tabell1345[[#This Row],[Nr]],$BV$3:$CB$11,2,TRUE)=5,VLOOKUP(Tabell1345[[#This Row],[Nr]],$BV$3:$CB$11,4,TRUE),NA())</f>
        <v>#N/A</v>
      </c>
      <c r="S42" t="e">
        <f ca="1">IF(VLOOKUP(Tabell1345[[#This Row],[Nr]],$BV$3:$CB$11,2,TRUE)=6,VLOOKUP(Tabell1345[[#This Row],[Nr]],$BV$3:$CB$11,4,TRUE),NA())</f>
        <v>#N/A</v>
      </c>
      <c r="T42" t="e">
        <f ca="1">IF(VLOOKUP(Tabell1345[[#This Row],[Nr]],$BV$3:$CB$11,2,TRUE)=7,VLOOKUP(Tabell1345[[#This Row],[Nr]],$BV$3:$CB$11,4,TRUE),NA())</f>
        <v>#N/A</v>
      </c>
      <c r="U42" t="e">
        <f ca="1">IF(VLOOKUP(Tabell1345[[#This Row],[Nr]],$BV$3:$CB$11,2,TRUE)=1,VLOOKUP(Tabell1345[[#This Row],[Nr]],$BV$3:$CB$11,6,TRUE),NA())</f>
        <v>#N/A</v>
      </c>
      <c r="V42">
        <f ca="1">IF(VLOOKUP(Tabell1345[[#This Row],[Nr]],$BV$3:$CB$11,2,TRUE)=2,VLOOKUP(Tabell1345[[#This Row],[Nr]],$BV$3:$CB$11,6,TRUE),NA())</f>
        <v>86.38000000000001</v>
      </c>
      <c r="W42" t="e">
        <f ca="1">IF(VLOOKUP(Tabell1345[[#This Row],[Nr]],$BV$3:$CB$11,2,TRUE)=3,VLOOKUP(Tabell1345[[#This Row],[Nr]],$BV$3:$CB$11,6,TRUE),NA())</f>
        <v>#N/A</v>
      </c>
      <c r="X42" t="e">
        <f ca="1">IF(VLOOKUP(Tabell1345[[#This Row],[Nr]],$BV$3:$CB$11,2,TRUE)=4,VLOOKUP(Tabell1345[[#This Row],[Nr]],$BV$3:$CB$11,6,TRUE),NA())</f>
        <v>#N/A</v>
      </c>
      <c r="Y42" t="e">
        <f ca="1">IF(VLOOKUP(Tabell1345[[#This Row],[Nr]],$BV$3:$CB$11,2,TRUE)=5,VLOOKUP(Tabell1345[[#This Row],[Nr]],$BV$3:$CB$11,6,TRUE),NA())</f>
        <v>#N/A</v>
      </c>
      <c r="Z42" t="e">
        <f ca="1">IF(VLOOKUP(Tabell1345[[#This Row],[Nr]],$BV$3:$CB$11,2,TRUE)=6,VLOOKUP(Tabell1345[[#This Row],[Nr]],$BV$3:$CB$11,6,TRUE),NA())</f>
        <v>#N/A</v>
      </c>
      <c r="AA42" t="e">
        <f ca="1">IF(VLOOKUP(Tabell1345[[#This Row],[Nr]],$BV$3:$CB$11,2,TRUE)=7,VLOOKUP(Tabell1345[[#This Row],[Nr]],$BV$3:$CB$11,6,TRUE),NA())</f>
        <v>#N/A</v>
      </c>
      <c r="AB42" t="e">
        <f ca="1">IF(VLOOKUP(Tabell1345[[#This Row],[Nr]],$BV$3:$CB$11,2,TRUE)=1,VLOOKUP(Tabell1345[[#This Row],[Nr]],$BV$3:$CB$11,7,TRUE),NA())</f>
        <v>#N/A</v>
      </c>
      <c r="AC42">
        <f ca="1">IF(VLOOKUP(Tabell1345[[#This Row],[Nr]],$BV$3:$CB$11,2,TRUE)=2,VLOOKUP(Tabell1345[[#This Row],[Nr]],$BV$3:$CB$11,7,TRUE),NA())</f>
        <v>-0.98000000000000398</v>
      </c>
      <c r="AD42" t="e">
        <f ca="1">IF(VLOOKUP(Tabell1345[[#This Row],[Nr]],$BV$3:$CB$11,2,TRUE)=3,VLOOKUP(Tabell1345[[#This Row],[Nr]],$BV$3:$CB$11,7,TRUE),NA())</f>
        <v>#N/A</v>
      </c>
      <c r="AE42" t="e">
        <f ca="1">IF(VLOOKUP(Tabell1345[[#This Row],[Nr]],$BV$3:$CB$11,2,TRUE)=4,VLOOKUP(Tabell1345[[#This Row],[Nr]],$BV$3:$CB$11,7,TRUE),NA())</f>
        <v>#N/A</v>
      </c>
      <c r="AF42" t="e">
        <f ca="1">IF(VLOOKUP(Tabell1345[[#This Row],[Nr]],$BV$3:$CB$11,2,TRUE)=5,VLOOKUP(Tabell1345[[#This Row],[Nr]],$BV$3:$CB$11,7,TRUE),NA())</f>
        <v>#N/A</v>
      </c>
      <c r="AG42" t="e">
        <f ca="1">IF(VLOOKUP(Tabell1345[[#This Row],[Nr]],$BV$3:$CB$11,2,TRUE)=6,VLOOKUP(Tabell1345[[#This Row],[Nr]],$BV$3:$CB$11,7,TRUE),NA())</f>
        <v>#N/A</v>
      </c>
      <c r="AH42" t="e">
        <f ca="1">IF(VLOOKUP(Tabell1345[[#This Row],[Nr]],$BV$3:$CB$11,2,TRUE)=7,VLOOKUP(Tabell1345[[#This Row],[Nr]],$BV$3:$CB$11,7,TRUE),NA())</f>
        <v>#N/A</v>
      </c>
      <c r="AI42" t="e">
        <f ca="1">IF(VLOOKUP(Tabell1345[[#This Row],[Nr]],$BV$3:$CB$11,2,TRUE)=1,VLOOKUP(Tabell1345[[#This Row],[Nr]],$BV$3:$CB$11,5,TRUE),NA())</f>
        <v>#N/A</v>
      </c>
      <c r="AJ42">
        <f ca="1">IF(VLOOKUP(Tabell1345[[#This Row],[Nr]],$BV$3:$CB$11,2,TRUE)=2,VLOOKUP(Tabell1345[[#This Row],[Nr]],$BV$3:$CB$11,5,TRUE),NA())</f>
        <v>40.5</v>
      </c>
      <c r="AK42" t="e">
        <f ca="1">IF(VLOOKUP(Tabell1345[[#This Row],[Nr]],$BV$3:$CB$11,2,TRUE)=3,VLOOKUP(Tabell1345[[#This Row],[Nr]],$BV$3:$CB$11,5,TRUE),NA())</f>
        <v>#N/A</v>
      </c>
      <c r="AL42" t="e">
        <f ca="1">IF(VLOOKUP(Tabell1345[[#This Row],[Nr]],$BV$3:$CB$11,2,TRUE)=4,VLOOKUP(Tabell1345[[#This Row],[Nr]],$BV$3:$CB$11,5,TRUE),NA())</f>
        <v>#N/A</v>
      </c>
      <c r="AM42" t="e">
        <f ca="1">IF(VLOOKUP(Tabell1345[[#This Row],[Nr]],$BV$3:$CB$11,2,TRUE)=5,VLOOKUP(Tabell1345[[#This Row],[Nr]],$BV$3:$CB$11,5,TRUE),NA())</f>
        <v>#N/A</v>
      </c>
      <c r="AN42" t="e">
        <f ca="1">IF(VLOOKUP(Tabell1345[[#This Row],[Nr]],$BV$3:$CB$11,2,TRUE)=6,VLOOKUP(Tabell1345[[#This Row],[Nr]],$BV$3:$CB$11,5,TRUE),NA())</f>
        <v>#N/A</v>
      </c>
      <c r="AO42" t="e">
        <f ca="1">IF(VLOOKUP(Tabell1345[[#This Row],[Nr]],$BV$3:$CB$11,2,TRUE)=7,VLOOKUP(Tabell1345[[#This Row],[Nr]],$BV$3:$CB$11,5,TRUE),NA())</f>
        <v>#N/A</v>
      </c>
      <c r="AP42" t="e">
        <f ca="1">IF(VLOOKUP(Tabell1345[[#This Row],[Nr]],$BV$3:$CB$11,2,TRUE)=1,Tabell1345[[#This Row],[Verdi_korrigert_IT]],NA())</f>
        <v>#N/A</v>
      </c>
      <c r="AQ42">
        <f ca="1">IF(VLOOKUP(Tabell1345[[#This Row],[Nr]],$BV$3:$CB$11,2,TRUE)=2,Tabell1345[[#This Row],[Verdi_korrigert_IT]],NA())</f>
        <v>38</v>
      </c>
      <c r="AR42" t="e">
        <f ca="1">IF(VLOOKUP(Tabell1345[[#This Row],[Nr]],$BV$3:$CB$11,2,TRUE)=3,Tabell1345[[#This Row],[Verdi_korrigert_IT]],NA())</f>
        <v>#N/A</v>
      </c>
      <c r="AS42" t="e">
        <f ca="1">IF(VLOOKUP(Tabell1345[[#This Row],[Nr]],$BV$3:$CB$11,2,TRUE)=4,Tabell1345[[#This Row],[Verdi_korrigert_IT]],NA())</f>
        <v>#N/A</v>
      </c>
      <c r="AT42" t="e">
        <f ca="1">IF(VLOOKUP(Tabell1345[[#This Row],[Nr]],$BV$3:$CB$11,2,TRUE)=5,Tabell1345[[#This Row],[Verdi_korrigert_IT]],NA())</f>
        <v>#N/A</v>
      </c>
      <c r="AU42" t="e">
        <f ca="1">IF(VLOOKUP(Tabell1345[[#This Row],[Nr]],$BV$3:$CB$11,2,TRUE)=6,Tabell1345[[#This Row],[Verdi_korrigert_IT]],NA())</f>
        <v>#N/A</v>
      </c>
      <c r="AV42" t="e">
        <f ca="1">IF(VLOOKUP(Tabell1345[[#This Row],[Nr]],$BV$3:$CB$11,2,TRUE)=7,Tabell1345[[#This Row],[Verdi_korrigert_IT]],NA())</f>
        <v>#N/A</v>
      </c>
      <c r="AW42">
        <f ca="1">IF(Tabell1345[[#This Row],[Brudd]]&lt;&gt;"*",IF(ISNUMBER(OFFSET(Tabell1345[[#This Row],[ser_indeks]],-1,0)),OFFSET(Tabell1345[[#This Row],[ser_indeks]],-1,0),0),0)+1</f>
        <v>15</v>
      </c>
      <c r="AX42">
        <f ca="1">VLOOKUP(Tabell1345[[#This Row],[Nr]],$BV$2:$BW$9,2,TRUE)</f>
        <v>2</v>
      </c>
      <c r="AY42">
        <f ca="1">IF(OFFSET(Tabell1345[[#This Row],[ser_indeks]],1,0)&lt;Tabell1345[[#This Row],[ser_indeks]],1,0)</f>
        <v>0</v>
      </c>
      <c r="AZ42">
        <f ca="1">IFERROR(VALUE(Tabell1345[[#This Row],[Verdi_korrigert_IT]]),OFFSET(Tabell1345[[#This Row],[verdi_korrigert]],-1,0))</f>
        <v>38</v>
      </c>
      <c r="BA42">
        <f ca="1">_xlfn.RANK.AVG(Tabell1345[[#This Row],[verdi_korrigert]],Tabell1345[verdi_korrigert],1)</f>
        <v>7.5</v>
      </c>
      <c r="BB42">
        <f ca="1">IF(Tabell1345[[#This Row],[rang]]=OFFSET(Tabell1345[[#This Row],[rang]],1,0),1,0)</f>
        <v>0</v>
      </c>
      <c r="BC42">
        <f ca="1">IF(AND(Tabell1345[[#This Row],[rang]]&gt;=OFFSET(Tabell1345[[#This Row],[rang]],-1,0),Tabell1345[[#This Row],[ser_indeks]]&gt;1),IFERROR(VALUE(OFFSET(Tabell1345[[#This Row],[rang_stig]],-1,0)),0)+1,VALUE($CH$3)-1)-Tabell1345[[#This Row],[rang_samme]]</f>
        <v>0</v>
      </c>
      <c r="BD42">
        <f ca="1">IF(AND(Tabell1345[[#This Row],[rang]]&lt;=OFFSET(Tabell1345[[#This Row],[rang]],-1,0),Tabell1345[[#This Row],[ser_indeks]]&gt;1),IFERROR(VALUE(OFFSET(Tabell1345[[#This Row],[rang_synk]],-1,0)),0)+1,VALUE($CH$3)-1)-Tabell1345[[#This Row],[rang_samme]]</f>
        <v>3</v>
      </c>
      <c r="BE42">
        <f ca="1">MAXA(Tabell1345[[#This Row],[rang_stig]:[rang_synk]])</f>
        <v>3</v>
      </c>
      <c r="BF42">
        <f ca="1">($CH$2-1)+_xlfn.AGGREGATE(9,6,Tabell1345[[#This Row],[rang_samme]]:OFFSET(Tabell1345[[#This Row],[rang_samme]],($CH$2-1),0))</f>
        <v>5</v>
      </c>
      <c r="BG42" t="e">
        <f ca="1">IF($G$9="ja",IF(MAXA(Tabell1345[[#This Row],[rang_stigsynk]]:INDIRECT(ADDRESS(ROW(Tabell1345[[#This Row],[rang_stigsynk]])+Tabell1345[[#This Row],[trend_omr]],COLUMN(Tabell1345[[#This Row],[rang_stigsynk]]))))&gt;($CH$2-2),Tabell1345[[#This Row],[Verdi_korrigert_IT]],NA()),NA())</f>
        <v>#N/A</v>
      </c>
      <c r="BH42" s="5">
        <f ca="1">IF(Tabell1345[[#This Row],[ser_indeks]]&gt;3,_xlfn.AGGREGATE(4,4,OFFSET(Tabell1345[[#This Row],[Verdi1]],-3,Tabell1345[[#This Row],[serie_nr]]-1):OFFSET(Tabell1345[[#This Row],[Verdi1]],4,Tabell1345[[#This Row],[serie_nr]]-1)),NA())</f>
        <v>58</v>
      </c>
      <c r="BI42" s="5">
        <f ca="1">IF(Tabell1345[[#This Row],[ser_indeks]]&gt;3,_xlfn.AGGREGATE(5,4,OFFSET(Tabell1345[[#This Row],[Verdi1]],-3,Tabell1345[[#This Row],[serie_nr]]-1):OFFSET(Tabell1345[[#This Row],[Verdi1]],4,Tabell1345[[#This Row],[serie_nr]]-1)),NA())</f>
        <v>36</v>
      </c>
      <c r="BJ42" s="5" t="e">
        <f ca="1">IF(_xlfn.AGGREGATE(4,6,Tabell1345[[#This Row],[til_brudd_rader]]:OFFSET(Tabell1345[[#This Row],[til_brudd_rader]],3,0))&gt;0,NA(),IF(Tabell1345[[#This Row],[skifte_lav1]]&lt;Tabell1345[[#This Row],[Snitt]],Tabell1345[[#This Row],[Verdi_korrigert_IT]],NA()))</f>
        <v>#N/A</v>
      </c>
      <c r="BK42" s="5" t="e">
        <f ca="1">IF(_xlfn.AGGREGATE(4,6,Tabell1345[[#This Row],[til_brudd_rader]]:OFFSET(Tabell1345[[#This Row],[til_brudd_rader]],3,0))&gt;0,NA(),IF(Tabell1345[[#This Row],[skifte_høy1]]&gt;Tabell1345[[#This Row],[Snitt]],Tabell1345[[#This Row],[Verdi_korrigert_IT]],NA()))</f>
        <v>#N/A</v>
      </c>
      <c r="BL42" t="e">
        <f ca="1">IF($G$9="ja",IFERROR(IF(_xlfn.AGGREGATE(4,6,OFFSET(Tabell1345[[#This Row],[skifte_lav2]],-4,0):OFFSET(Tabell1345[[#This Row],[skifte_lav2]],3,1))&gt;0,Tabell1345[[#This Row],[Verdi_korrigert_IT]],NA()),NA()),NA())</f>
        <v>#N/A</v>
      </c>
      <c r="BM42" t="e">
        <f ca="1">IF($G$9="ja",IF(OR(Tabell1345[[#This Row],[Verdi_korrigert_IT]]&gt;Tabell1345[[#This Row],[UCL]],Tabell1345[[#This Row],[Verdi_korrigert_IT]]&lt;Tabell1345[[#This Row],[LCL]]),Tabell1345[[#This Row],[Verdi_korrigert_IT]],NA()),NA())</f>
        <v>#N/A</v>
      </c>
      <c r="BN42">
        <f>IF(Tabell1345[[#This Row],[Brudd]]="x","",Tabell1345[[#This Row],[Verdi]])</f>
        <v>38</v>
      </c>
      <c r="BO42">
        <f>IF(Tabell1345[[#This Row],[Brudd]]="x",NA(),Tabell1345[[#This Row],[Verdi]])</f>
        <v>38</v>
      </c>
      <c r="BP42">
        <f ca="1">IF(ISERROR(Tabell1345[[#This Row],[Verdi_korrigert_IT]]),OFFSET(Tabell1345[[#This Row],[ForrigeGyldige]],-1,0),Tabell1345[[#This Row],[Verdi]])</f>
        <v>38</v>
      </c>
      <c r="BQ42">
        <f>Tabell1345[[#This Row],[Verdi]]</f>
        <v>38</v>
      </c>
    </row>
    <row r="43" spans="1:69" x14ac:dyDescent="0.35">
      <c r="A43">
        <f ca="1">IF(ISNUMBER(OFFSET(Tabell1345[[#This Row],[Nr]],-1,0)),OFFSET(Tabell1345[[#This Row],[Nr]],-1,0))+1</f>
        <v>29</v>
      </c>
      <c r="C43" s="36">
        <v>36</v>
      </c>
      <c r="H43" t="e">
        <f t="shared" si="7"/>
        <v>#N/A</v>
      </c>
      <c r="I43" t="b">
        <f>IF(OR(Tabell1345[[#This Row],[Brudd]]="*",ROW()-ROW(Tabell1345[#All])+1=ROWS(Tabell1345[#All])),ROW())</f>
        <v>0</v>
      </c>
      <c r="J43" s="2">
        <f ca="1">VLOOKUP(Tabell1345[[#This Row],[Nr]],$BV$2:$CB$11,4,TRUE)</f>
        <v>42.7</v>
      </c>
      <c r="K43" s="2">
        <f ca="1">VLOOKUP(Tabell1345[[#This Row],[Nr]],$BV$2:$CB$11,7,TRUE)</f>
        <v>-0.98000000000000398</v>
      </c>
      <c r="L43" s="2">
        <f ca="1">VLOOKUP(Tabell1345[[#This Row],[Nr]],$BV$2:$CB$11,6,TRUE)</f>
        <v>86.38000000000001</v>
      </c>
      <c r="M43">
        <f ca="1">IF(OR(Tabell1345[[#This Row],[Brudd]]="*",ISERROR(Tabell1345[[#This Row],[Verdi_korrigert_IT]])),"",IF(ISNUMBER(OFFSET(Tabell1345[[#This Row],[ForrigeGyldige]],-1,0)),ABS(Tabell1345[[#This Row],[Verdi_korrigert_IT]]-OFFSET(Tabell1345[[#This Row],[ForrigeGyldige]],-1,0)),""))</f>
        <v>2</v>
      </c>
      <c r="N43" t="e">
        <f ca="1">IF(VLOOKUP(Tabell1345[[#This Row],[Nr]],$BV$3:$CB$11,2,TRUE)=1,VLOOKUP(Tabell1345[[#This Row],[Nr]],$BV$3:$CB$11,4,TRUE),NA())</f>
        <v>#N/A</v>
      </c>
      <c r="O43">
        <f ca="1">IF(VLOOKUP(Tabell1345[[#This Row],[Nr]],$BV$3:$CB$11,2,TRUE)=2,VLOOKUP(Tabell1345[[#This Row],[Nr]],$BV$3:$CB$11,4,TRUE),NA())</f>
        <v>42.7</v>
      </c>
      <c r="P43" s="2" t="e">
        <f ca="1">IF(VLOOKUP(Tabell1345[[#This Row],[Nr]],$BV$3:$CB$11,2,TRUE)=3,VLOOKUP(Tabell1345[[#This Row],[Nr]],$BV$3:$CB$11,4,TRUE),NA())</f>
        <v>#N/A</v>
      </c>
      <c r="Q43" t="e">
        <f ca="1">IF(VLOOKUP(Tabell1345[[#This Row],[Nr]],$BV$3:$CB$11,2,TRUE)=4,VLOOKUP(Tabell1345[[#This Row],[Nr]],$BV$3:$CB$11,4,TRUE),NA())</f>
        <v>#N/A</v>
      </c>
      <c r="R43" t="e">
        <f ca="1">IF(VLOOKUP(Tabell1345[[#This Row],[Nr]],$BV$3:$CB$11,2,TRUE)=5,VLOOKUP(Tabell1345[[#This Row],[Nr]],$BV$3:$CB$11,4,TRUE),NA())</f>
        <v>#N/A</v>
      </c>
      <c r="S43" t="e">
        <f ca="1">IF(VLOOKUP(Tabell1345[[#This Row],[Nr]],$BV$3:$CB$11,2,TRUE)=6,VLOOKUP(Tabell1345[[#This Row],[Nr]],$BV$3:$CB$11,4,TRUE),NA())</f>
        <v>#N/A</v>
      </c>
      <c r="T43" t="e">
        <f ca="1">IF(VLOOKUP(Tabell1345[[#This Row],[Nr]],$BV$3:$CB$11,2,TRUE)=7,VLOOKUP(Tabell1345[[#This Row],[Nr]],$BV$3:$CB$11,4,TRUE),NA())</f>
        <v>#N/A</v>
      </c>
      <c r="U43" t="e">
        <f ca="1">IF(VLOOKUP(Tabell1345[[#This Row],[Nr]],$BV$3:$CB$11,2,TRUE)=1,VLOOKUP(Tabell1345[[#This Row],[Nr]],$BV$3:$CB$11,6,TRUE),NA())</f>
        <v>#N/A</v>
      </c>
      <c r="V43">
        <f ca="1">IF(VLOOKUP(Tabell1345[[#This Row],[Nr]],$BV$3:$CB$11,2,TRUE)=2,VLOOKUP(Tabell1345[[#This Row],[Nr]],$BV$3:$CB$11,6,TRUE),NA())</f>
        <v>86.38000000000001</v>
      </c>
      <c r="W43" t="e">
        <f ca="1">IF(VLOOKUP(Tabell1345[[#This Row],[Nr]],$BV$3:$CB$11,2,TRUE)=3,VLOOKUP(Tabell1345[[#This Row],[Nr]],$BV$3:$CB$11,6,TRUE),NA())</f>
        <v>#N/A</v>
      </c>
      <c r="X43" t="e">
        <f ca="1">IF(VLOOKUP(Tabell1345[[#This Row],[Nr]],$BV$3:$CB$11,2,TRUE)=4,VLOOKUP(Tabell1345[[#This Row],[Nr]],$BV$3:$CB$11,6,TRUE),NA())</f>
        <v>#N/A</v>
      </c>
      <c r="Y43" t="e">
        <f ca="1">IF(VLOOKUP(Tabell1345[[#This Row],[Nr]],$BV$3:$CB$11,2,TRUE)=5,VLOOKUP(Tabell1345[[#This Row],[Nr]],$BV$3:$CB$11,6,TRUE),NA())</f>
        <v>#N/A</v>
      </c>
      <c r="Z43" t="e">
        <f ca="1">IF(VLOOKUP(Tabell1345[[#This Row],[Nr]],$BV$3:$CB$11,2,TRUE)=6,VLOOKUP(Tabell1345[[#This Row],[Nr]],$BV$3:$CB$11,6,TRUE),NA())</f>
        <v>#N/A</v>
      </c>
      <c r="AA43" t="e">
        <f ca="1">IF(VLOOKUP(Tabell1345[[#This Row],[Nr]],$BV$3:$CB$11,2,TRUE)=7,VLOOKUP(Tabell1345[[#This Row],[Nr]],$BV$3:$CB$11,6,TRUE),NA())</f>
        <v>#N/A</v>
      </c>
      <c r="AB43" t="e">
        <f ca="1">IF(VLOOKUP(Tabell1345[[#This Row],[Nr]],$BV$3:$CB$11,2,TRUE)=1,VLOOKUP(Tabell1345[[#This Row],[Nr]],$BV$3:$CB$11,7,TRUE),NA())</f>
        <v>#N/A</v>
      </c>
      <c r="AC43">
        <f ca="1">IF(VLOOKUP(Tabell1345[[#This Row],[Nr]],$BV$3:$CB$11,2,TRUE)=2,VLOOKUP(Tabell1345[[#This Row],[Nr]],$BV$3:$CB$11,7,TRUE),NA())</f>
        <v>-0.98000000000000398</v>
      </c>
      <c r="AD43" t="e">
        <f ca="1">IF(VLOOKUP(Tabell1345[[#This Row],[Nr]],$BV$3:$CB$11,2,TRUE)=3,VLOOKUP(Tabell1345[[#This Row],[Nr]],$BV$3:$CB$11,7,TRUE),NA())</f>
        <v>#N/A</v>
      </c>
      <c r="AE43" t="e">
        <f ca="1">IF(VLOOKUP(Tabell1345[[#This Row],[Nr]],$BV$3:$CB$11,2,TRUE)=4,VLOOKUP(Tabell1345[[#This Row],[Nr]],$BV$3:$CB$11,7,TRUE),NA())</f>
        <v>#N/A</v>
      </c>
      <c r="AF43" t="e">
        <f ca="1">IF(VLOOKUP(Tabell1345[[#This Row],[Nr]],$BV$3:$CB$11,2,TRUE)=5,VLOOKUP(Tabell1345[[#This Row],[Nr]],$BV$3:$CB$11,7,TRUE),NA())</f>
        <v>#N/A</v>
      </c>
      <c r="AG43" t="e">
        <f ca="1">IF(VLOOKUP(Tabell1345[[#This Row],[Nr]],$BV$3:$CB$11,2,TRUE)=6,VLOOKUP(Tabell1345[[#This Row],[Nr]],$BV$3:$CB$11,7,TRUE),NA())</f>
        <v>#N/A</v>
      </c>
      <c r="AH43" t="e">
        <f ca="1">IF(VLOOKUP(Tabell1345[[#This Row],[Nr]],$BV$3:$CB$11,2,TRUE)=7,VLOOKUP(Tabell1345[[#This Row],[Nr]],$BV$3:$CB$11,7,TRUE),NA())</f>
        <v>#N/A</v>
      </c>
      <c r="AI43" t="e">
        <f ca="1">IF(VLOOKUP(Tabell1345[[#This Row],[Nr]],$BV$3:$CB$11,2,TRUE)=1,VLOOKUP(Tabell1345[[#This Row],[Nr]],$BV$3:$CB$11,5,TRUE),NA())</f>
        <v>#N/A</v>
      </c>
      <c r="AJ43">
        <f ca="1">IF(VLOOKUP(Tabell1345[[#This Row],[Nr]],$BV$3:$CB$11,2,TRUE)=2,VLOOKUP(Tabell1345[[#This Row],[Nr]],$BV$3:$CB$11,5,TRUE),NA())</f>
        <v>40.5</v>
      </c>
      <c r="AK43" t="e">
        <f ca="1">IF(VLOOKUP(Tabell1345[[#This Row],[Nr]],$BV$3:$CB$11,2,TRUE)=3,VLOOKUP(Tabell1345[[#This Row],[Nr]],$BV$3:$CB$11,5,TRUE),NA())</f>
        <v>#N/A</v>
      </c>
      <c r="AL43" t="e">
        <f ca="1">IF(VLOOKUP(Tabell1345[[#This Row],[Nr]],$BV$3:$CB$11,2,TRUE)=4,VLOOKUP(Tabell1345[[#This Row],[Nr]],$BV$3:$CB$11,5,TRUE),NA())</f>
        <v>#N/A</v>
      </c>
      <c r="AM43" t="e">
        <f ca="1">IF(VLOOKUP(Tabell1345[[#This Row],[Nr]],$BV$3:$CB$11,2,TRUE)=5,VLOOKUP(Tabell1345[[#This Row],[Nr]],$BV$3:$CB$11,5,TRUE),NA())</f>
        <v>#N/A</v>
      </c>
      <c r="AN43" t="e">
        <f ca="1">IF(VLOOKUP(Tabell1345[[#This Row],[Nr]],$BV$3:$CB$11,2,TRUE)=6,VLOOKUP(Tabell1345[[#This Row],[Nr]],$BV$3:$CB$11,5,TRUE),NA())</f>
        <v>#N/A</v>
      </c>
      <c r="AO43" t="e">
        <f ca="1">IF(VLOOKUP(Tabell1345[[#This Row],[Nr]],$BV$3:$CB$11,2,TRUE)=7,VLOOKUP(Tabell1345[[#This Row],[Nr]],$BV$3:$CB$11,5,TRUE),NA())</f>
        <v>#N/A</v>
      </c>
      <c r="AP43" t="e">
        <f ca="1">IF(VLOOKUP(Tabell1345[[#This Row],[Nr]],$BV$3:$CB$11,2,TRUE)=1,Tabell1345[[#This Row],[Verdi_korrigert_IT]],NA())</f>
        <v>#N/A</v>
      </c>
      <c r="AQ43">
        <f ca="1">IF(VLOOKUP(Tabell1345[[#This Row],[Nr]],$BV$3:$CB$11,2,TRUE)=2,Tabell1345[[#This Row],[Verdi_korrigert_IT]],NA())</f>
        <v>36</v>
      </c>
      <c r="AR43" t="e">
        <f ca="1">IF(VLOOKUP(Tabell1345[[#This Row],[Nr]],$BV$3:$CB$11,2,TRUE)=3,Tabell1345[[#This Row],[Verdi_korrigert_IT]],NA())</f>
        <v>#N/A</v>
      </c>
      <c r="AS43" t="e">
        <f ca="1">IF(VLOOKUP(Tabell1345[[#This Row],[Nr]],$BV$3:$CB$11,2,TRUE)=4,Tabell1345[[#This Row],[Verdi_korrigert_IT]],NA())</f>
        <v>#N/A</v>
      </c>
      <c r="AT43" t="e">
        <f ca="1">IF(VLOOKUP(Tabell1345[[#This Row],[Nr]],$BV$3:$CB$11,2,TRUE)=5,Tabell1345[[#This Row],[Verdi_korrigert_IT]],NA())</f>
        <v>#N/A</v>
      </c>
      <c r="AU43" t="e">
        <f ca="1">IF(VLOOKUP(Tabell1345[[#This Row],[Nr]],$BV$3:$CB$11,2,TRUE)=6,Tabell1345[[#This Row],[Verdi_korrigert_IT]],NA())</f>
        <v>#N/A</v>
      </c>
      <c r="AV43" t="e">
        <f ca="1">IF(VLOOKUP(Tabell1345[[#This Row],[Nr]],$BV$3:$CB$11,2,TRUE)=7,Tabell1345[[#This Row],[Verdi_korrigert_IT]],NA())</f>
        <v>#N/A</v>
      </c>
      <c r="AW43">
        <f ca="1">IF(Tabell1345[[#This Row],[Brudd]]&lt;&gt;"*",IF(ISNUMBER(OFFSET(Tabell1345[[#This Row],[ser_indeks]],-1,0)),OFFSET(Tabell1345[[#This Row],[ser_indeks]],-1,0),0),0)+1</f>
        <v>16</v>
      </c>
      <c r="AX43">
        <f ca="1">VLOOKUP(Tabell1345[[#This Row],[Nr]],$BV$2:$BW$9,2,TRUE)</f>
        <v>2</v>
      </c>
      <c r="AY43">
        <f ca="1">IF(OFFSET(Tabell1345[[#This Row],[ser_indeks]],1,0)&lt;Tabell1345[[#This Row],[ser_indeks]],1,0)</f>
        <v>0</v>
      </c>
      <c r="AZ43">
        <f ca="1">IFERROR(VALUE(Tabell1345[[#This Row],[Verdi_korrigert_IT]]),OFFSET(Tabell1345[[#This Row],[verdi_korrigert]],-1,0))</f>
        <v>36</v>
      </c>
      <c r="BA43">
        <f ca="1">_xlfn.RANK.AVG(Tabell1345[[#This Row],[verdi_korrigert]],Tabell1345[verdi_korrigert],1)</f>
        <v>3.5</v>
      </c>
      <c r="BB43">
        <f ca="1">IF(Tabell1345[[#This Row],[rang]]=OFFSET(Tabell1345[[#This Row],[rang]],1,0),1,0)</f>
        <v>0</v>
      </c>
      <c r="BC43">
        <f ca="1">IF(AND(Tabell1345[[#This Row],[rang]]&gt;=OFFSET(Tabell1345[[#This Row],[rang]],-1,0),Tabell1345[[#This Row],[ser_indeks]]&gt;1),IFERROR(VALUE(OFFSET(Tabell1345[[#This Row],[rang_stig]],-1,0)),0)+1,VALUE($CH$3)-1)-Tabell1345[[#This Row],[rang_samme]]</f>
        <v>0</v>
      </c>
      <c r="BD43">
        <f ca="1">IF(AND(Tabell1345[[#This Row],[rang]]&lt;=OFFSET(Tabell1345[[#This Row],[rang]],-1,0),Tabell1345[[#This Row],[ser_indeks]]&gt;1),IFERROR(VALUE(OFFSET(Tabell1345[[#This Row],[rang_synk]],-1,0)),0)+1,VALUE($CH$3)-1)-Tabell1345[[#This Row],[rang_samme]]</f>
        <v>4</v>
      </c>
      <c r="BE43">
        <f ca="1">MAXA(Tabell1345[[#This Row],[rang_stig]:[rang_synk]])</f>
        <v>4</v>
      </c>
      <c r="BF43">
        <f ca="1">($CH$2-1)+_xlfn.AGGREGATE(9,6,Tabell1345[[#This Row],[rang_samme]]:OFFSET(Tabell1345[[#This Row],[rang_samme]],($CH$2-1),0))</f>
        <v>5</v>
      </c>
      <c r="BG43" t="e">
        <f ca="1">IF($G$9="ja",IF(MAXA(Tabell1345[[#This Row],[rang_stigsynk]]:INDIRECT(ADDRESS(ROW(Tabell1345[[#This Row],[rang_stigsynk]])+Tabell1345[[#This Row],[trend_omr]],COLUMN(Tabell1345[[#This Row],[rang_stigsynk]]))))&gt;($CH$2-2),Tabell1345[[#This Row],[Verdi_korrigert_IT]],NA()),NA())</f>
        <v>#N/A</v>
      </c>
      <c r="BH43" s="5">
        <f ca="1">IF(Tabell1345[[#This Row],[ser_indeks]]&gt;3,_xlfn.AGGREGATE(4,4,OFFSET(Tabell1345[[#This Row],[Verdi1]],-3,Tabell1345[[#This Row],[serie_nr]]-1):OFFSET(Tabell1345[[#This Row],[Verdi1]],4,Tabell1345[[#This Row],[serie_nr]]-1)),NA())</f>
        <v>54</v>
      </c>
      <c r="BI43" s="5">
        <f ca="1">IF(Tabell1345[[#This Row],[ser_indeks]]&gt;3,_xlfn.AGGREGATE(5,4,OFFSET(Tabell1345[[#This Row],[Verdi1]],-3,Tabell1345[[#This Row],[serie_nr]]-1):OFFSET(Tabell1345[[#This Row],[Verdi1]],4,Tabell1345[[#This Row],[serie_nr]]-1)),NA())</f>
        <v>18</v>
      </c>
      <c r="BJ43" s="5" t="e">
        <f ca="1">IF(_xlfn.AGGREGATE(4,6,Tabell1345[[#This Row],[til_brudd_rader]]:OFFSET(Tabell1345[[#This Row],[til_brudd_rader]],3,0))&gt;0,NA(),IF(Tabell1345[[#This Row],[skifte_lav1]]&lt;Tabell1345[[#This Row],[Snitt]],Tabell1345[[#This Row],[Verdi_korrigert_IT]],NA()))</f>
        <v>#N/A</v>
      </c>
      <c r="BK43" s="5" t="e">
        <f ca="1">IF(_xlfn.AGGREGATE(4,6,Tabell1345[[#This Row],[til_brudd_rader]]:OFFSET(Tabell1345[[#This Row],[til_brudd_rader]],3,0))&gt;0,NA(),IF(Tabell1345[[#This Row],[skifte_høy1]]&gt;Tabell1345[[#This Row],[Snitt]],Tabell1345[[#This Row],[Verdi_korrigert_IT]],NA()))</f>
        <v>#N/A</v>
      </c>
      <c r="BL43" t="e">
        <f ca="1">IF($G$9="ja",IFERROR(IF(_xlfn.AGGREGATE(4,6,OFFSET(Tabell1345[[#This Row],[skifte_lav2]],-4,0):OFFSET(Tabell1345[[#This Row],[skifte_lav2]],3,1))&gt;0,Tabell1345[[#This Row],[Verdi_korrigert_IT]],NA()),NA()),NA())</f>
        <v>#N/A</v>
      </c>
      <c r="BM43" t="e">
        <f ca="1">IF($G$9="ja",IF(OR(Tabell1345[[#This Row],[Verdi_korrigert_IT]]&gt;Tabell1345[[#This Row],[UCL]],Tabell1345[[#This Row],[Verdi_korrigert_IT]]&lt;Tabell1345[[#This Row],[LCL]]),Tabell1345[[#This Row],[Verdi_korrigert_IT]],NA()),NA())</f>
        <v>#N/A</v>
      </c>
      <c r="BN43">
        <f>IF(Tabell1345[[#This Row],[Brudd]]="x","",Tabell1345[[#This Row],[Verdi]])</f>
        <v>36</v>
      </c>
      <c r="BO43">
        <f>IF(Tabell1345[[#This Row],[Brudd]]="x",NA(),Tabell1345[[#This Row],[Verdi]])</f>
        <v>36</v>
      </c>
      <c r="BP43">
        <f ca="1">IF(ISERROR(Tabell1345[[#This Row],[Verdi_korrigert_IT]]),OFFSET(Tabell1345[[#This Row],[ForrigeGyldige]],-1,0),Tabell1345[[#This Row],[Verdi]])</f>
        <v>36</v>
      </c>
      <c r="BQ43">
        <f>Tabell1345[[#This Row],[Verdi]]</f>
        <v>36</v>
      </c>
    </row>
    <row r="44" spans="1:69" x14ac:dyDescent="0.35">
      <c r="A44">
        <f ca="1">IF(ISNUMBER(OFFSET(Tabell1345[[#This Row],[Nr]],-1,0)),OFFSET(Tabell1345[[#This Row],[Nr]],-1,0))+1</f>
        <v>30</v>
      </c>
      <c r="C44" s="36">
        <v>44</v>
      </c>
      <c r="H44" t="e">
        <f t="shared" si="7"/>
        <v>#N/A</v>
      </c>
      <c r="I44" t="b">
        <f>IF(OR(Tabell1345[[#This Row],[Brudd]]="*",ROW()-ROW(Tabell1345[#All])+1=ROWS(Tabell1345[#All])),ROW())</f>
        <v>0</v>
      </c>
      <c r="J44" s="2">
        <f ca="1">VLOOKUP(Tabell1345[[#This Row],[Nr]],$BV$2:$CB$11,4,TRUE)</f>
        <v>42.7</v>
      </c>
      <c r="K44" s="2">
        <f ca="1">VLOOKUP(Tabell1345[[#This Row],[Nr]],$BV$2:$CB$11,7,TRUE)</f>
        <v>-0.98000000000000398</v>
      </c>
      <c r="L44" s="2">
        <f ca="1">VLOOKUP(Tabell1345[[#This Row],[Nr]],$BV$2:$CB$11,6,TRUE)</f>
        <v>86.38000000000001</v>
      </c>
      <c r="M44">
        <f ca="1">IF(OR(Tabell1345[[#This Row],[Brudd]]="*",ISERROR(Tabell1345[[#This Row],[Verdi_korrigert_IT]])),"",IF(ISNUMBER(OFFSET(Tabell1345[[#This Row],[ForrigeGyldige]],-1,0)),ABS(Tabell1345[[#This Row],[Verdi_korrigert_IT]]-OFFSET(Tabell1345[[#This Row],[ForrigeGyldige]],-1,0)),""))</f>
        <v>8</v>
      </c>
      <c r="N44" t="e">
        <f ca="1">IF(VLOOKUP(Tabell1345[[#This Row],[Nr]],$BV$3:$CB$11,2,TRUE)=1,VLOOKUP(Tabell1345[[#This Row],[Nr]],$BV$3:$CB$11,4,TRUE),NA())</f>
        <v>#N/A</v>
      </c>
      <c r="O44">
        <f ca="1">IF(VLOOKUP(Tabell1345[[#This Row],[Nr]],$BV$3:$CB$11,2,TRUE)=2,VLOOKUP(Tabell1345[[#This Row],[Nr]],$BV$3:$CB$11,4,TRUE),NA())</f>
        <v>42.7</v>
      </c>
      <c r="P44" s="2" t="e">
        <f ca="1">IF(VLOOKUP(Tabell1345[[#This Row],[Nr]],$BV$3:$CB$11,2,TRUE)=3,VLOOKUP(Tabell1345[[#This Row],[Nr]],$BV$3:$CB$11,4,TRUE),NA())</f>
        <v>#N/A</v>
      </c>
      <c r="Q44" t="e">
        <f ca="1">IF(VLOOKUP(Tabell1345[[#This Row],[Nr]],$BV$3:$CB$11,2,TRUE)=4,VLOOKUP(Tabell1345[[#This Row],[Nr]],$BV$3:$CB$11,4,TRUE),NA())</f>
        <v>#N/A</v>
      </c>
      <c r="R44" t="e">
        <f ca="1">IF(VLOOKUP(Tabell1345[[#This Row],[Nr]],$BV$3:$CB$11,2,TRUE)=5,VLOOKUP(Tabell1345[[#This Row],[Nr]],$BV$3:$CB$11,4,TRUE),NA())</f>
        <v>#N/A</v>
      </c>
      <c r="S44" t="e">
        <f ca="1">IF(VLOOKUP(Tabell1345[[#This Row],[Nr]],$BV$3:$CB$11,2,TRUE)=6,VLOOKUP(Tabell1345[[#This Row],[Nr]],$BV$3:$CB$11,4,TRUE),NA())</f>
        <v>#N/A</v>
      </c>
      <c r="T44" t="e">
        <f ca="1">IF(VLOOKUP(Tabell1345[[#This Row],[Nr]],$BV$3:$CB$11,2,TRUE)=7,VLOOKUP(Tabell1345[[#This Row],[Nr]],$BV$3:$CB$11,4,TRUE),NA())</f>
        <v>#N/A</v>
      </c>
      <c r="U44" t="e">
        <f ca="1">IF(VLOOKUP(Tabell1345[[#This Row],[Nr]],$BV$3:$CB$11,2,TRUE)=1,VLOOKUP(Tabell1345[[#This Row],[Nr]],$BV$3:$CB$11,6,TRUE),NA())</f>
        <v>#N/A</v>
      </c>
      <c r="V44">
        <f ca="1">IF(VLOOKUP(Tabell1345[[#This Row],[Nr]],$BV$3:$CB$11,2,TRUE)=2,VLOOKUP(Tabell1345[[#This Row],[Nr]],$BV$3:$CB$11,6,TRUE),NA())</f>
        <v>86.38000000000001</v>
      </c>
      <c r="W44" t="e">
        <f ca="1">IF(VLOOKUP(Tabell1345[[#This Row],[Nr]],$BV$3:$CB$11,2,TRUE)=3,VLOOKUP(Tabell1345[[#This Row],[Nr]],$BV$3:$CB$11,6,TRUE),NA())</f>
        <v>#N/A</v>
      </c>
      <c r="X44" t="e">
        <f ca="1">IF(VLOOKUP(Tabell1345[[#This Row],[Nr]],$BV$3:$CB$11,2,TRUE)=4,VLOOKUP(Tabell1345[[#This Row],[Nr]],$BV$3:$CB$11,6,TRUE),NA())</f>
        <v>#N/A</v>
      </c>
      <c r="Y44" t="e">
        <f ca="1">IF(VLOOKUP(Tabell1345[[#This Row],[Nr]],$BV$3:$CB$11,2,TRUE)=5,VLOOKUP(Tabell1345[[#This Row],[Nr]],$BV$3:$CB$11,6,TRUE),NA())</f>
        <v>#N/A</v>
      </c>
      <c r="Z44" t="e">
        <f ca="1">IF(VLOOKUP(Tabell1345[[#This Row],[Nr]],$BV$3:$CB$11,2,TRUE)=6,VLOOKUP(Tabell1345[[#This Row],[Nr]],$BV$3:$CB$11,6,TRUE),NA())</f>
        <v>#N/A</v>
      </c>
      <c r="AA44" t="e">
        <f ca="1">IF(VLOOKUP(Tabell1345[[#This Row],[Nr]],$BV$3:$CB$11,2,TRUE)=7,VLOOKUP(Tabell1345[[#This Row],[Nr]],$BV$3:$CB$11,6,TRUE),NA())</f>
        <v>#N/A</v>
      </c>
      <c r="AB44" t="e">
        <f ca="1">IF(VLOOKUP(Tabell1345[[#This Row],[Nr]],$BV$3:$CB$11,2,TRUE)=1,VLOOKUP(Tabell1345[[#This Row],[Nr]],$BV$3:$CB$11,7,TRUE),NA())</f>
        <v>#N/A</v>
      </c>
      <c r="AC44">
        <f ca="1">IF(VLOOKUP(Tabell1345[[#This Row],[Nr]],$BV$3:$CB$11,2,TRUE)=2,VLOOKUP(Tabell1345[[#This Row],[Nr]],$BV$3:$CB$11,7,TRUE),NA())</f>
        <v>-0.98000000000000398</v>
      </c>
      <c r="AD44" t="e">
        <f ca="1">IF(VLOOKUP(Tabell1345[[#This Row],[Nr]],$BV$3:$CB$11,2,TRUE)=3,VLOOKUP(Tabell1345[[#This Row],[Nr]],$BV$3:$CB$11,7,TRUE),NA())</f>
        <v>#N/A</v>
      </c>
      <c r="AE44" t="e">
        <f ca="1">IF(VLOOKUP(Tabell1345[[#This Row],[Nr]],$BV$3:$CB$11,2,TRUE)=4,VLOOKUP(Tabell1345[[#This Row],[Nr]],$BV$3:$CB$11,7,TRUE),NA())</f>
        <v>#N/A</v>
      </c>
      <c r="AF44" t="e">
        <f ca="1">IF(VLOOKUP(Tabell1345[[#This Row],[Nr]],$BV$3:$CB$11,2,TRUE)=5,VLOOKUP(Tabell1345[[#This Row],[Nr]],$BV$3:$CB$11,7,TRUE),NA())</f>
        <v>#N/A</v>
      </c>
      <c r="AG44" t="e">
        <f ca="1">IF(VLOOKUP(Tabell1345[[#This Row],[Nr]],$BV$3:$CB$11,2,TRUE)=6,VLOOKUP(Tabell1345[[#This Row],[Nr]],$BV$3:$CB$11,7,TRUE),NA())</f>
        <v>#N/A</v>
      </c>
      <c r="AH44" t="e">
        <f ca="1">IF(VLOOKUP(Tabell1345[[#This Row],[Nr]],$BV$3:$CB$11,2,TRUE)=7,VLOOKUP(Tabell1345[[#This Row],[Nr]],$BV$3:$CB$11,7,TRUE),NA())</f>
        <v>#N/A</v>
      </c>
      <c r="AI44" t="e">
        <f ca="1">IF(VLOOKUP(Tabell1345[[#This Row],[Nr]],$BV$3:$CB$11,2,TRUE)=1,VLOOKUP(Tabell1345[[#This Row],[Nr]],$BV$3:$CB$11,5,TRUE),NA())</f>
        <v>#N/A</v>
      </c>
      <c r="AJ44">
        <f ca="1">IF(VLOOKUP(Tabell1345[[#This Row],[Nr]],$BV$3:$CB$11,2,TRUE)=2,VLOOKUP(Tabell1345[[#This Row],[Nr]],$BV$3:$CB$11,5,TRUE),NA())</f>
        <v>40.5</v>
      </c>
      <c r="AK44" t="e">
        <f ca="1">IF(VLOOKUP(Tabell1345[[#This Row],[Nr]],$BV$3:$CB$11,2,TRUE)=3,VLOOKUP(Tabell1345[[#This Row],[Nr]],$BV$3:$CB$11,5,TRUE),NA())</f>
        <v>#N/A</v>
      </c>
      <c r="AL44" t="e">
        <f ca="1">IF(VLOOKUP(Tabell1345[[#This Row],[Nr]],$BV$3:$CB$11,2,TRUE)=4,VLOOKUP(Tabell1345[[#This Row],[Nr]],$BV$3:$CB$11,5,TRUE),NA())</f>
        <v>#N/A</v>
      </c>
      <c r="AM44" t="e">
        <f ca="1">IF(VLOOKUP(Tabell1345[[#This Row],[Nr]],$BV$3:$CB$11,2,TRUE)=5,VLOOKUP(Tabell1345[[#This Row],[Nr]],$BV$3:$CB$11,5,TRUE),NA())</f>
        <v>#N/A</v>
      </c>
      <c r="AN44" t="e">
        <f ca="1">IF(VLOOKUP(Tabell1345[[#This Row],[Nr]],$BV$3:$CB$11,2,TRUE)=6,VLOOKUP(Tabell1345[[#This Row],[Nr]],$BV$3:$CB$11,5,TRUE),NA())</f>
        <v>#N/A</v>
      </c>
      <c r="AO44" t="e">
        <f ca="1">IF(VLOOKUP(Tabell1345[[#This Row],[Nr]],$BV$3:$CB$11,2,TRUE)=7,VLOOKUP(Tabell1345[[#This Row],[Nr]],$BV$3:$CB$11,5,TRUE),NA())</f>
        <v>#N/A</v>
      </c>
      <c r="AP44" t="e">
        <f ca="1">IF(VLOOKUP(Tabell1345[[#This Row],[Nr]],$BV$3:$CB$11,2,TRUE)=1,Tabell1345[[#This Row],[Verdi_korrigert_IT]],NA())</f>
        <v>#N/A</v>
      </c>
      <c r="AQ44">
        <f ca="1">IF(VLOOKUP(Tabell1345[[#This Row],[Nr]],$BV$3:$CB$11,2,TRUE)=2,Tabell1345[[#This Row],[Verdi_korrigert_IT]],NA())</f>
        <v>44</v>
      </c>
      <c r="AR44" t="e">
        <f ca="1">IF(VLOOKUP(Tabell1345[[#This Row],[Nr]],$BV$3:$CB$11,2,TRUE)=3,Tabell1345[[#This Row],[Verdi_korrigert_IT]],NA())</f>
        <v>#N/A</v>
      </c>
      <c r="AS44" t="e">
        <f ca="1">IF(VLOOKUP(Tabell1345[[#This Row],[Nr]],$BV$3:$CB$11,2,TRUE)=4,Tabell1345[[#This Row],[Verdi_korrigert_IT]],NA())</f>
        <v>#N/A</v>
      </c>
      <c r="AT44" t="e">
        <f ca="1">IF(VLOOKUP(Tabell1345[[#This Row],[Nr]],$BV$3:$CB$11,2,TRUE)=5,Tabell1345[[#This Row],[Verdi_korrigert_IT]],NA())</f>
        <v>#N/A</v>
      </c>
      <c r="AU44" t="e">
        <f ca="1">IF(VLOOKUP(Tabell1345[[#This Row],[Nr]],$BV$3:$CB$11,2,TRUE)=6,Tabell1345[[#This Row],[Verdi_korrigert_IT]],NA())</f>
        <v>#N/A</v>
      </c>
      <c r="AV44" t="e">
        <f ca="1">IF(VLOOKUP(Tabell1345[[#This Row],[Nr]],$BV$3:$CB$11,2,TRUE)=7,Tabell1345[[#This Row],[Verdi_korrigert_IT]],NA())</f>
        <v>#N/A</v>
      </c>
      <c r="AW44">
        <f ca="1">IF(Tabell1345[[#This Row],[Brudd]]&lt;&gt;"*",IF(ISNUMBER(OFFSET(Tabell1345[[#This Row],[ser_indeks]],-1,0)),OFFSET(Tabell1345[[#This Row],[ser_indeks]],-1,0),0),0)+1</f>
        <v>17</v>
      </c>
      <c r="AX44">
        <f ca="1">VLOOKUP(Tabell1345[[#This Row],[Nr]],$BV$2:$BW$9,2,TRUE)</f>
        <v>2</v>
      </c>
      <c r="AY44">
        <f ca="1">IF(OFFSET(Tabell1345[[#This Row],[ser_indeks]],1,0)&lt;Tabell1345[[#This Row],[ser_indeks]],1,0)</f>
        <v>0</v>
      </c>
      <c r="AZ44">
        <f ca="1">IFERROR(VALUE(Tabell1345[[#This Row],[Verdi_korrigert_IT]]),OFFSET(Tabell1345[[#This Row],[verdi_korrigert]],-1,0))</f>
        <v>44</v>
      </c>
      <c r="BA44">
        <f ca="1">_xlfn.RANK.AVG(Tabell1345[[#This Row],[verdi_korrigert]],Tabell1345[verdi_korrigert],1)</f>
        <v>14.5</v>
      </c>
      <c r="BB44">
        <f ca="1">IF(Tabell1345[[#This Row],[rang]]=OFFSET(Tabell1345[[#This Row],[rang]],1,0),1,0)</f>
        <v>0</v>
      </c>
      <c r="BC44">
        <f ca="1">IF(AND(Tabell1345[[#This Row],[rang]]&gt;=OFFSET(Tabell1345[[#This Row],[rang]],-1,0),Tabell1345[[#This Row],[ser_indeks]]&gt;1),IFERROR(VALUE(OFFSET(Tabell1345[[#This Row],[rang_stig]],-1,0)),0)+1,VALUE($CH$3)-1)-Tabell1345[[#This Row],[rang_samme]]</f>
        <v>1</v>
      </c>
      <c r="BD44">
        <f ca="1">IF(AND(Tabell1345[[#This Row],[rang]]&lt;=OFFSET(Tabell1345[[#This Row],[rang]],-1,0),Tabell1345[[#This Row],[ser_indeks]]&gt;1),IFERROR(VALUE(OFFSET(Tabell1345[[#This Row],[rang_synk]],-1,0)),0)+1,VALUE($CH$3)-1)-Tabell1345[[#This Row],[rang_samme]]</f>
        <v>0</v>
      </c>
      <c r="BE44">
        <f ca="1">MAXA(Tabell1345[[#This Row],[rang_stig]:[rang_synk]])</f>
        <v>1</v>
      </c>
      <c r="BF44">
        <f ca="1">($CH$2-1)+_xlfn.AGGREGATE(9,6,Tabell1345[[#This Row],[rang_samme]]:OFFSET(Tabell1345[[#This Row],[rang_samme]],($CH$2-1),0))</f>
        <v>5</v>
      </c>
      <c r="BG44" t="e">
        <f ca="1">IF($G$9="ja",IF(MAXA(Tabell1345[[#This Row],[rang_stigsynk]]:INDIRECT(ADDRESS(ROW(Tabell1345[[#This Row],[rang_stigsynk]])+Tabell1345[[#This Row],[trend_omr]],COLUMN(Tabell1345[[#This Row],[rang_stigsynk]]))))&gt;($CH$2-2),Tabell1345[[#This Row],[Verdi_korrigert_IT]],NA()),NA())</f>
        <v>#N/A</v>
      </c>
      <c r="BH44" s="5">
        <f ca="1">IF(Tabell1345[[#This Row],[ser_indeks]]&gt;3,_xlfn.AGGREGATE(4,4,OFFSET(Tabell1345[[#This Row],[Verdi1]],-3,Tabell1345[[#This Row],[serie_nr]]-1):OFFSET(Tabell1345[[#This Row],[Verdi1]],4,Tabell1345[[#This Row],[serie_nr]]-1)),NA())</f>
        <v>44</v>
      </c>
      <c r="BI44" s="5">
        <f ca="1">IF(Tabell1345[[#This Row],[ser_indeks]]&gt;3,_xlfn.AGGREGATE(5,4,OFFSET(Tabell1345[[#This Row],[Verdi1]],-3,Tabell1345[[#This Row],[serie_nr]]-1):OFFSET(Tabell1345[[#This Row],[Verdi1]],4,Tabell1345[[#This Row],[serie_nr]]-1)),NA())</f>
        <v>18</v>
      </c>
      <c r="BJ44" s="5" t="e">
        <f ca="1">IF(_xlfn.AGGREGATE(4,6,Tabell1345[[#This Row],[til_brudd_rader]]:OFFSET(Tabell1345[[#This Row],[til_brudd_rader]],3,0))&gt;0,NA(),IF(Tabell1345[[#This Row],[skifte_lav1]]&lt;Tabell1345[[#This Row],[Snitt]],Tabell1345[[#This Row],[Verdi_korrigert_IT]],NA()))</f>
        <v>#N/A</v>
      </c>
      <c r="BK44" s="5" t="e">
        <f ca="1">IF(_xlfn.AGGREGATE(4,6,Tabell1345[[#This Row],[til_brudd_rader]]:OFFSET(Tabell1345[[#This Row],[til_brudd_rader]],3,0))&gt;0,NA(),IF(Tabell1345[[#This Row],[skifte_høy1]]&gt;Tabell1345[[#This Row],[Snitt]],Tabell1345[[#This Row],[Verdi_korrigert_IT]],NA()))</f>
        <v>#N/A</v>
      </c>
      <c r="BL44" t="e">
        <f ca="1">IF($G$9="ja",IFERROR(IF(_xlfn.AGGREGATE(4,6,OFFSET(Tabell1345[[#This Row],[skifte_lav2]],-4,0):OFFSET(Tabell1345[[#This Row],[skifte_lav2]],3,1))&gt;0,Tabell1345[[#This Row],[Verdi_korrigert_IT]],NA()),NA()),NA())</f>
        <v>#N/A</v>
      </c>
      <c r="BM44" t="e">
        <f ca="1">IF($G$9="ja",IF(OR(Tabell1345[[#This Row],[Verdi_korrigert_IT]]&gt;Tabell1345[[#This Row],[UCL]],Tabell1345[[#This Row],[Verdi_korrigert_IT]]&lt;Tabell1345[[#This Row],[LCL]]),Tabell1345[[#This Row],[Verdi_korrigert_IT]],NA()),NA())</f>
        <v>#N/A</v>
      </c>
      <c r="BN44">
        <f>IF(Tabell1345[[#This Row],[Brudd]]="x","",Tabell1345[[#This Row],[Verdi]])</f>
        <v>44</v>
      </c>
      <c r="BO44">
        <f>IF(Tabell1345[[#This Row],[Brudd]]="x",NA(),Tabell1345[[#This Row],[Verdi]])</f>
        <v>44</v>
      </c>
      <c r="BP44">
        <f ca="1">IF(ISERROR(Tabell1345[[#This Row],[Verdi_korrigert_IT]]),OFFSET(Tabell1345[[#This Row],[ForrigeGyldige]],-1,0),Tabell1345[[#This Row],[Verdi]])</f>
        <v>44</v>
      </c>
      <c r="BQ44">
        <f>Tabell1345[[#This Row],[Verdi]]</f>
        <v>44</v>
      </c>
    </row>
    <row r="45" spans="1:69" x14ac:dyDescent="0.35">
      <c r="A45">
        <f ca="1">IF(ISNUMBER(OFFSET(Tabell1345[[#This Row],[Nr]],-1,0)),OFFSET(Tabell1345[[#This Row],[Nr]],-1,0))+1</f>
        <v>31</v>
      </c>
      <c r="C45" s="36">
        <v>37</v>
      </c>
      <c r="H45" t="e">
        <f t="shared" si="7"/>
        <v>#N/A</v>
      </c>
      <c r="I45" t="b">
        <f>IF(OR(Tabell1345[[#This Row],[Brudd]]="*",ROW()-ROW(Tabell1345[#All])+1=ROWS(Tabell1345[#All])),ROW())</f>
        <v>0</v>
      </c>
      <c r="J45" s="2">
        <f ca="1">VLOOKUP(Tabell1345[[#This Row],[Nr]],$BV$2:$CB$11,4,TRUE)</f>
        <v>42.7</v>
      </c>
      <c r="K45" s="2">
        <f ca="1">VLOOKUP(Tabell1345[[#This Row],[Nr]],$BV$2:$CB$11,7,TRUE)</f>
        <v>-0.98000000000000398</v>
      </c>
      <c r="L45" s="2">
        <f ca="1">VLOOKUP(Tabell1345[[#This Row],[Nr]],$BV$2:$CB$11,6,TRUE)</f>
        <v>86.38000000000001</v>
      </c>
      <c r="M45">
        <f ca="1">IF(OR(Tabell1345[[#This Row],[Brudd]]="*",ISERROR(Tabell1345[[#This Row],[Verdi_korrigert_IT]])),"",IF(ISNUMBER(OFFSET(Tabell1345[[#This Row],[ForrigeGyldige]],-1,0)),ABS(Tabell1345[[#This Row],[Verdi_korrigert_IT]]-OFFSET(Tabell1345[[#This Row],[ForrigeGyldige]],-1,0)),""))</f>
        <v>7</v>
      </c>
      <c r="N45" t="e">
        <f ca="1">IF(VLOOKUP(Tabell1345[[#This Row],[Nr]],$BV$3:$CB$11,2,TRUE)=1,VLOOKUP(Tabell1345[[#This Row],[Nr]],$BV$3:$CB$11,4,TRUE),NA())</f>
        <v>#N/A</v>
      </c>
      <c r="O45">
        <f ca="1">IF(VLOOKUP(Tabell1345[[#This Row],[Nr]],$BV$3:$CB$11,2,TRUE)=2,VLOOKUP(Tabell1345[[#This Row],[Nr]],$BV$3:$CB$11,4,TRUE),NA())</f>
        <v>42.7</v>
      </c>
      <c r="P45" s="2" t="e">
        <f ca="1">IF(VLOOKUP(Tabell1345[[#This Row],[Nr]],$BV$3:$CB$11,2,TRUE)=3,VLOOKUP(Tabell1345[[#This Row],[Nr]],$BV$3:$CB$11,4,TRUE),NA())</f>
        <v>#N/A</v>
      </c>
      <c r="Q45" t="e">
        <f ca="1">IF(VLOOKUP(Tabell1345[[#This Row],[Nr]],$BV$3:$CB$11,2,TRUE)=4,VLOOKUP(Tabell1345[[#This Row],[Nr]],$BV$3:$CB$11,4,TRUE),NA())</f>
        <v>#N/A</v>
      </c>
      <c r="R45" t="e">
        <f ca="1">IF(VLOOKUP(Tabell1345[[#This Row],[Nr]],$BV$3:$CB$11,2,TRUE)=5,VLOOKUP(Tabell1345[[#This Row],[Nr]],$BV$3:$CB$11,4,TRUE),NA())</f>
        <v>#N/A</v>
      </c>
      <c r="S45" t="e">
        <f ca="1">IF(VLOOKUP(Tabell1345[[#This Row],[Nr]],$BV$3:$CB$11,2,TRUE)=6,VLOOKUP(Tabell1345[[#This Row],[Nr]],$BV$3:$CB$11,4,TRUE),NA())</f>
        <v>#N/A</v>
      </c>
      <c r="T45" t="e">
        <f ca="1">IF(VLOOKUP(Tabell1345[[#This Row],[Nr]],$BV$3:$CB$11,2,TRUE)=7,VLOOKUP(Tabell1345[[#This Row],[Nr]],$BV$3:$CB$11,4,TRUE),NA())</f>
        <v>#N/A</v>
      </c>
      <c r="U45" t="e">
        <f ca="1">IF(VLOOKUP(Tabell1345[[#This Row],[Nr]],$BV$3:$CB$11,2,TRUE)=1,VLOOKUP(Tabell1345[[#This Row],[Nr]],$BV$3:$CB$11,6,TRUE),NA())</f>
        <v>#N/A</v>
      </c>
      <c r="V45">
        <f ca="1">IF(VLOOKUP(Tabell1345[[#This Row],[Nr]],$BV$3:$CB$11,2,TRUE)=2,VLOOKUP(Tabell1345[[#This Row],[Nr]],$BV$3:$CB$11,6,TRUE),NA())</f>
        <v>86.38000000000001</v>
      </c>
      <c r="W45" t="e">
        <f ca="1">IF(VLOOKUP(Tabell1345[[#This Row],[Nr]],$BV$3:$CB$11,2,TRUE)=3,VLOOKUP(Tabell1345[[#This Row],[Nr]],$BV$3:$CB$11,6,TRUE),NA())</f>
        <v>#N/A</v>
      </c>
      <c r="X45" t="e">
        <f ca="1">IF(VLOOKUP(Tabell1345[[#This Row],[Nr]],$BV$3:$CB$11,2,TRUE)=4,VLOOKUP(Tabell1345[[#This Row],[Nr]],$BV$3:$CB$11,6,TRUE),NA())</f>
        <v>#N/A</v>
      </c>
      <c r="Y45" t="e">
        <f ca="1">IF(VLOOKUP(Tabell1345[[#This Row],[Nr]],$BV$3:$CB$11,2,TRUE)=5,VLOOKUP(Tabell1345[[#This Row],[Nr]],$BV$3:$CB$11,6,TRUE),NA())</f>
        <v>#N/A</v>
      </c>
      <c r="Z45" t="e">
        <f ca="1">IF(VLOOKUP(Tabell1345[[#This Row],[Nr]],$BV$3:$CB$11,2,TRUE)=6,VLOOKUP(Tabell1345[[#This Row],[Nr]],$BV$3:$CB$11,6,TRUE),NA())</f>
        <v>#N/A</v>
      </c>
      <c r="AA45" t="e">
        <f ca="1">IF(VLOOKUP(Tabell1345[[#This Row],[Nr]],$BV$3:$CB$11,2,TRUE)=7,VLOOKUP(Tabell1345[[#This Row],[Nr]],$BV$3:$CB$11,6,TRUE),NA())</f>
        <v>#N/A</v>
      </c>
      <c r="AB45" t="e">
        <f ca="1">IF(VLOOKUP(Tabell1345[[#This Row],[Nr]],$BV$3:$CB$11,2,TRUE)=1,VLOOKUP(Tabell1345[[#This Row],[Nr]],$BV$3:$CB$11,7,TRUE),NA())</f>
        <v>#N/A</v>
      </c>
      <c r="AC45">
        <f ca="1">IF(VLOOKUP(Tabell1345[[#This Row],[Nr]],$BV$3:$CB$11,2,TRUE)=2,VLOOKUP(Tabell1345[[#This Row],[Nr]],$BV$3:$CB$11,7,TRUE),NA())</f>
        <v>-0.98000000000000398</v>
      </c>
      <c r="AD45" t="e">
        <f ca="1">IF(VLOOKUP(Tabell1345[[#This Row],[Nr]],$BV$3:$CB$11,2,TRUE)=3,VLOOKUP(Tabell1345[[#This Row],[Nr]],$BV$3:$CB$11,7,TRUE),NA())</f>
        <v>#N/A</v>
      </c>
      <c r="AE45" t="e">
        <f ca="1">IF(VLOOKUP(Tabell1345[[#This Row],[Nr]],$BV$3:$CB$11,2,TRUE)=4,VLOOKUP(Tabell1345[[#This Row],[Nr]],$BV$3:$CB$11,7,TRUE),NA())</f>
        <v>#N/A</v>
      </c>
      <c r="AF45" t="e">
        <f ca="1">IF(VLOOKUP(Tabell1345[[#This Row],[Nr]],$BV$3:$CB$11,2,TRUE)=5,VLOOKUP(Tabell1345[[#This Row],[Nr]],$BV$3:$CB$11,7,TRUE),NA())</f>
        <v>#N/A</v>
      </c>
      <c r="AG45" t="e">
        <f ca="1">IF(VLOOKUP(Tabell1345[[#This Row],[Nr]],$BV$3:$CB$11,2,TRUE)=6,VLOOKUP(Tabell1345[[#This Row],[Nr]],$BV$3:$CB$11,7,TRUE),NA())</f>
        <v>#N/A</v>
      </c>
      <c r="AH45" t="e">
        <f ca="1">IF(VLOOKUP(Tabell1345[[#This Row],[Nr]],$BV$3:$CB$11,2,TRUE)=7,VLOOKUP(Tabell1345[[#This Row],[Nr]],$BV$3:$CB$11,7,TRUE),NA())</f>
        <v>#N/A</v>
      </c>
      <c r="AI45" t="e">
        <f ca="1">IF(VLOOKUP(Tabell1345[[#This Row],[Nr]],$BV$3:$CB$11,2,TRUE)=1,VLOOKUP(Tabell1345[[#This Row],[Nr]],$BV$3:$CB$11,5,TRUE),NA())</f>
        <v>#N/A</v>
      </c>
      <c r="AJ45">
        <f ca="1">IF(VLOOKUP(Tabell1345[[#This Row],[Nr]],$BV$3:$CB$11,2,TRUE)=2,VLOOKUP(Tabell1345[[#This Row],[Nr]],$BV$3:$CB$11,5,TRUE),NA())</f>
        <v>40.5</v>
      </c>
      <c r="AK45" t="e">
        <f ca="1">IF(VLOOKUP(Tabell1345[[#This Row],[Nr]],$BV$3:$CB$11,2,TRUE)=3,VLOOKUP(Tabell1345[[#This Row],[Nr]],$BV$3:$CB$11,5,TRUE),NA())</f>
        <v>#N/A</v>
      </c>
      <c r="AL45" t="e">
        <f ca="1">IF(VLOOKUP(Tabell1345[[#This Row],[Nr]],$BV$3:$CB$11,2,TRUE)=4,VLOOKUP(Tabell1345[[#This Row],[Nr]],$BV$3:$CB$11,5,TRUE),NA())</f>
        <v>#N/A</v>
      </c>
      <c r="AM45" t="e">
        <f ca="1">IF(VLOOKUP(Tabell1345[[#This Row],[Nr]],$BV$3:$CB$11,2,TRUE)=5,VLOOKUP(Tabell1345[[#This Row],[Nr]],$BV$3:$CB$11,5,TRUE),NA())</f>
        <v>#N/A</v>
      </c>
      <c r="AN45" t="e">
        <f ca="1">IF(VLOOKUP(Tabell1345[[#This Row],[Nr]],$BV$3:$CB$11,2,TRUE)=6,VLOOKUP(Tabell1345[[#This Row],[Nr]],$BV$3:$CB$11,5,TRUE),NA())</f>
        <v>#N/A</v>
      </c>
      <c r="AO45" t="e">
        <f ca="1">IF(VLOOKUP(Tabell1345[[#This Row],[Nr]],$BV$3:$CB$11,2,TRUE)=7,VLOOKUP(Tabell1345[[#This Row],[Nr]],$BV$3:$CB$11,5,TRUE),NA())</f>
        <v>#N/A</v>
      </c>
      <c r="AP45" t="e">
        <f ca="1">IF(VLOOKUP(Tabell1345[[#This Row],[Nr]],$BV$3:$CB$11,2,TRUE)=1,Tabell1345[[#This Row],[Verdi_korrigert_IT]],NA())</f>
        <v>#N/A</v>
      </c>
      <c r="AQ45">
        <f ca="1">IF(VLOOKUP(Tabell1345[[#This Row],[Nr]],$BV$3:$CB$11,2,TRUE)=2,Tabell1345[[#This Row],[Verdi_korrigert_IT]],NA())</f>
        <v>37</v>
      </c>
      <c r="AR45" t="e">
        <f ca="1">IF(VLOOKUP(Tabell1345[[#This Row],[Nr]],$BV$3:$CB$11,2,TRUE)=3,Tabell1345[[#This Row],[Verdi_korrigert_IT]],NA())</f>
        <v>#N/A</v>
      </c>
      <c r="AS45" t="e">
        <f ca="1">IF(VLOOKUP(Tabell1345[[#This Row],[Nr]],$BV$3:$CB$11,2,TRUE)=4,Tabell1345[[#This Row],[Verdi_korrigert_IT]],NA())</f>
        <v>#N/A</v>
      </c>
      <c r="AT45" t="e">
        <f ca="1">IF(VLOOKUP(Tabell1345[[#This Row],[Nr]],$BV$3:$CB$11,2,TRUE)=5,Tabell1345[[#This Row],[Verdi_korrigert_IT]],NA())</f>
        <v>#N/A</v>
      </c>
      <c r="AU45" t="e">
        <f ca="1">IF(VLOOKUP(Tabell1345[[#This Row],[Nr]],$BV$3:$CB$11,2,TRUE)=6,Tabell1345[[#This Row],[Verdi_korrigert_IT]],NA())</f>
        <v>#N/A</v>
      </c>
      <c r="AV45" t="e">
        <f ca="1">IF(VLOOKUP(Tabell1345[[#This Row],[Nr]],$BV$3:$CB$11,2,TRUE)=7,Tabell1345[[#This Row],[Verdi_korrigert_IT]],NA())</f>
        <v>#N/A</v>
      </c>
      <c r="AW45">
        <f ca="1">IF(Tabell1345[[#This Row],[Brudd]]&lt;&gt;"*",IF(ISNUMBER(OFFSET(Tabell1345[[#This Row],[ser_indeks]],-1,0)),OFFSET(Tabell1345[[#This Row],[ser_indeks]],-1,0),0),0)+1</f>
        <v>18</v>
      </c>
      <c r="AX45">
        <f ca="1">VLOOKUP(Tabell1345[[#This Row],[Nr]],$BV$2:$BW$9,2,TRUE)</f>
        <v>2</v>
      </c>
      <c r="AY45">
        <f ca="1">IF(OFFSET(Tabell1345[[#This Row],[ser_indeks]],1,0)&lt;Tabell1345[[#This Row],[ser_indeks]],1,0)</f>
        <v>0</v>
      </c>
      <c r="AZ45">
        <f ca="1">IFERROR(VALUE(Tabell1345[[#This Row],[Verdi_korrigert_IT]]),OFFSET(Tabell1345[[#This Row],[verdi_korrigert]],-1,0))</f>
        <v>37</v>
      </c>
      <c r="BA45">
        <f ca="1">_xlfn.RANK.AVG(Tabell1345[[#This Row],[verdi_korrigert]],Tabell1345[verdi_korrigert],1)</f>
        <v>5.5</v>
      </c>
      <c r="BB45">
        <f ca="1">IF(Tabell1345[[#This Row],[rang]]=OFFSET(Tabell1345[[#This Row],[rang]],1,0),1,0)</f>
        <v>0</v>
      </c>
      <c r="BC45">
        <f ca="1">IF(AND(Tabell1345[[#This Row],[rang]]&gt;=OFFSET(Tabell1345[[#This Row],[rang]],-1,0),Tabell1345[[#This Row],[ser_indeks]]&gt;1),IFERROR(VALUE(OFFSET(Tabell1345[[#This Row],[rang_stig]],-1,0)),0)+1,VALUE($CH$3)-1)-Tabell1345[[#This Row],[rang_samme]]</f>
        <v>0</v>
      </c>
      <c r="BD45">
        <f ca="1">IF(AND(Tabell1345[[#This Row],[rang]]&lt;=OFFSET(Tabell1345[[#This Row],[rang]],-1,0),Tabell1345[[#This Row],[ser_indeks]]&gt;1),IFERROR(VALUE(OFFSET(Tabell1345[[#This Row],[rang_synk]],-1,0)),0)+1,VALUE($CH$3)-1)-Tabell1345[[#This Row],[rang_samme]]</f>
        <v>1</v>
      </c>
      <c r="BE45">
        <f ca="1">MAXA(Tabell1345[[#This Row],[rang_stig]:[rang_synk]])</f>
        <v>1</v>
      </c>
      <c r="BF45">
        <f ca="1">($CH$2-1)+_xlfn.AGGREGATE(9,6,Tabell1345[[#This Row],[rang_samme]]:OFFSET(Tabell1345[[#This Row],[rang_samme]],($CH$2-1),0))</f>
        <v>5</v>
      </c>
      <c r="BG45" t="e">
        <f ca="1">IF($G$9="ja",IF(MAXA(Tabell1345[[#This Row],[rang_stigsynk]]:INDIRECT(ADDRESS(ROW(Tabell1345[[#This Row],[rang_stigsynk]])+Tabell1345[[#This Row],[trend_omr]],COLUMN(Tabell1345[[#This Row],[rang_stigsynk]]))))&gt;($CH$2-2),Tabell1345[[#This Row],[Verdi_korrigert_IT]],NA()),NA())</f>
        <v>#N/A</v>
      </c>
      <c r="BH45" s="5">
        <f ca="1">IF(Tabell1345[[#This Row],[ser_indeks]]&gt;3,_xlfn.AGGREGATE(4,4,OFFSET(Tabell1345[[#This Row],[Verdi1]],-3,Tabell1345[[#This Row],[serie_nr]]-1):OFFSET(Tabell1345[[#This Row],[Verdi1]],4,Tabell1345[[#This Row],[serie_nr]]-1)),NA())</f>
        <v>44</v>
      </c>
      <c r="BI45" s="5">
        <f ca="1">IF(Tabell1345[[#This Row],[ser_indeks]]&gt;3,_xlfn.AGGREGATE(5,4,OFFSET(Tabell1345[[#This Row],[Verdi1]],-3,Tabell1345[[#This Row],[serie_nr]]-1):OFFSET(Tabell1345[[#This Row],[Verdi1]],4,Tabell1345[[#This Row],[serie_nr]]-1)),NA())</f>
        <v>18</v>
      </c>
      <c r="BJ45" s="5" t="e">
        <f ca="1">IF(_xlfn.AGGREGATE(4,6,Tabell1345[[#This Row],[til_brudd_rader]]:OFFSET(Tabell1345[[#This Row],[til_brudd_rader]],3,0))&gt;0,NA(),IF(Tabell1345[[#This Row],[skifte_lav1]]&lt;Tabell1345[[#This Row],[Snitt]],Tabell1345[[#This Row],[Verdi_korrigert_IT]],NA()))</f>
        <v>#N/A</v>
      </c>
      <c r="BK45" s="5" t="e">
        <f ca="1">IF(_xlfn.AGGREGATE(4,6,Tabell1345[[#This Row],[til_brudd_rader]]:OFFSET(Tabell1345[[#This Row],[til_brudd_rader]],3,0))&gt;0,NA(),IF(Tabell1345[[#This Row],[skifte_høy1]]&gt;Tabell1345[[#This Row],[Snitt]],Tabell1345[[#This Row],[Verdi_korrigert_IT]],NA()))</f>
        <v>#N/A</v>
      </c>
      <c r="BL45" t="e">
        <f ca="1">IF($G$9="ja",IFERROR(IF(_xlfn.AGGREGATE(4,6,OFFSET(Tabell1345[[#This Row],[skifte_lav2]],-4,0):OFFSET(Tabell1345[[#This Row],[skifte_lav2]],3,1))&gt;0,Tabell1345[[#This Row],[Verdi_korrigert_IT]],NA()),NA()),NA())</f>
        <v>#N/A</v>
      </c>
      <c r="BM45" t="e">
        <f ca="1">IF($G$9="ja",IF(OR(Tabell1345[[#This Row],[Verdi_korrigert_IT]]&gt;Tabell1345[[#This Row],[UCL]],Tabell1345[[#This Row],[Verdi_korrigert_IT]]&lt;Tabell1345[[#This Row],[LCL]]),Tabell1345[[#This Row],[Verdi_korrigert_IT]],NA()),NA())</f>
        <v>#N/A</v>
      </c>
      <c r="BN45">
        <f>IF(Tabell1345[[#This Row],[Brudd]]="x","",Tabell1345[[#This Row],[Verdi]])</f>
        <v>37</v>
      </c>
      <c r="BO45">
        <f>IF(Tabell1345[[#This Row],[Brudd]]="x",NA(),Tabell1345[[#This Row],[Verdi]])</f>
        <v>37</v>
      </c>
      <c r="BP45">
        <f ca="1">IF(ISERROR(Tabell1345[[#This Row],[Verdi_korrigert_IT]]),OFFSET(Tabell1345[[#This Row],[ForrigeGyldige]],-1,0),Tabell1345[[#This Row],[Verdi]])</f>
        <v>37</v>
      </c>
      <c r="BQ45">
        <f>Tabell1345[[#This Row],[Verdi]]</f>
        <v>37</v>
      </c>
    </row>
    <row r="46" spans="1:69" x14ac:dyDescent="0.35">
      <c r="A46">
        <f ca="1">IF(ISNUMBER(OFFSET(Tabell1345[[#This Row],[Nr]],-1,0)),OFFSET(Tabell1345[[#This Row],[Nr]],-1,0))+1</f>
        <v>32</v>
      </c>
      <c r="C46" s="36">
        <v>39</v>
      </c>
      <c r="H46" t="e">
        <f t="shared" si="7"/>
        <v>#N/A</v>
      </c>
      <c r="I46" t="b">
        <f>IF(OR(Tabell1345[[#This Row],[Brudd]]="*",ROW()-ROW(Tabell1345[#All])+1=ROWS(Tabell1345[#All])),ROW())</f>
        <v>0</v>
      </c>
      <c r="J46" s="2">
        <f ca="1">VLOOKUP(Tabell1345[[#This Row],[Nr]],$BV$2:$CB$11,4,TRUE)</f>
        <v>42.7</v>
      </c>
      <c r="K46" s="2">
        <f ca="1">VLOOKUP(Tabell1345[[#This Row],[Nr]],$BV$2:$CB$11,7,TRUE)</f>
        <v>-0.98000000000000398</v>
      </c>
      <c r="L46" s="2">
        <f ca="1">VLOOKUP(Tabell1345[[#This Row],[Nr]],$BV$2:$CB$11,6,TRUE)</f>
        <v>86.38000000000001</v>
      </c>
      <c r="M46">
        <f ca="1">IF(OR(Tabell1345[[#This Row],[Brudd]]="*",ISERROR(Tabell1345[[#This Row],[Verdi_korrigert_IT]])),"",IF(ISNUMBER(OFFSET(Tabell1345[[#This Row],[ForrigeGyldige]],-1,0)),ABS(Tabell1345[[#This Row],[Verdi_korrigert_IT]]-OFFSET(Tabell1345[[#This Row],[ForrigeGyldige]],-1,0)),""))</f>
        <v>2</v>
      </c>
      <c r="N46" t="e">
        <f ca="1">IF(VLOOKUP(Tabell1345[[#This Row],[Nr]],$BV$3:$CB$11,2,TRUE)=1,VLOOKUP(Tabell1345[[#This Row],[Nr]],$BV$3:$CB$11,4,TRUE),NA())</f>
        <v>#N/A</v>
      </c>
      <c r="O46">
        <f ca="1">IF(VLOOKUP(Tabell1345[[#This Row],[Nr]],$BV$3:$CB$11,2,TRUE)=2,VLOOKUP(Tabell1345[[#This Row],[Nr]],$BV$3:$CB$11,4,TRUE),NA())</f>
        <v>42.7</v>
      </c>
      <c r="P46" s="2" t="e">
        <f ca="1">IF(VLOOKUP(Tabell1345[[#This Row],[Nr]],$BV$3:$CB$11,2,TRUE)=3,VLOOKUP(Tabell1345[[#This Row],[Nr]],$BV$3:$CB$11,4,TRUE),NA())</f>
        <v>#N/A</v>
      </c>
      <c r="Q46" t="e">
        <f ca="1">IF(VLOOKUP(Tabell1345[[#This Row],[Nr]],$BV$3:$CB$11,2,TRUE)=4,VLOOKUP(Tabell1345[[#This Row],[Nr]],$BV$3:$CB$11,4,TRUE),NA())</f>
        <v>#N/A</v>
      </c>
      <c r="R46" t="e">
        <f ca="1">IF(VLOOKUP(Tabell1345[[#This Row],[Nr]],$BV$3:$CB$11,2,TRUE)=5,VLOOKUP(Tabell1345[[#This Row],[Nr]],$BV$3:$CB$11,4,TRUE),NA())</f>
        <v>#N/A</v>
      </c>
      <c r="S46" t="e">
        <f ca="1">IF(VLOOKUP(Tabell1345[[#This Row],[Nr]],$BV$3:$CB$11,2,TRUE)=6,VLOOKUP(Tabell1345[[#This Row],[Nr]],$BV$3:$CB$11,4,TRUE),NA())</f>
        <v>#N/A</v>
      </c>
      <c r="T46" t="e">
        <f ca="1">IF(VLOOKUP(Tabell1345[[#This Row],[Nr]],$BV$3:$CB$11,2,TRUE)=7,VLOOKUP(Tabell1345[[#This Row],[Nr]],$BV$3:$CB$11,4,TRUE),NA())</f>
        <v>#N/A</v>
      </c>
      <c r="U46" t="e">
        <f ca="1">IF(VLOOKUP(Tabell1345[[#This Row],[Nr]],$BV$3:$CB$11,2,TRUE)=1,VLOOKUP(Tabell1345[[#This Row],[Nr]],$BV$3:$CB$11,6,TRUE),NA())</f>
        <v>#N/A</v>
      </c>
      <c r="V46">
        <f ca="1">IF(VLOOKUP(Tabell1345[[#This Row],[Nr]],$BV$3:$CB$11,2,TRUE)=2,VLOOKUP(Tabell1345[[#This Row],[Nr]],$BV$3:$CB$11,6,TRUE),NA())</f>
        <v>86.38000000000001</v>
      </c>
      <c r="W46" t="e">
        <f ca="1">IF(VLOOKUP(Tabell1345[[#This Row],[Nr]],$BV$3:$CB$11,2,TRUE)=3,VLOOKUP(Tabell1345[[#This Row],[Nr]],$BV$3:$CB$11,6,TRUE),NA())</f>
        <v>#N/A</v>
      </c>
      <c r="X46" t="e">
        <f ca="1">IF(VLOOKUP(Tabell1345[[#This Row],[Nr]],$BV$3:$CB$11,2,TRUE)=4,VLOOKUP(Tabell1345[[#This Row],[Nr]],$BV$3:$CB$11,6,TRUE),NA())</f>
        <v>#N/A</v>
      </c>
      <c r="Y46" t="e">
        <f ca="1">IF(VLOOKUP(Tabell1345[[#This Row],[Nr]],$BV$3:$CB$11,2,TRUE)=5,VLOOKUP(Tabell1345[[#This Row],[Nr]],$BV$3:$CB$11,6,TRUE),NA())</f>
        <v>#N/A</v>
      </c>
      <c r="Z46" t="e">
        <f ca="1">IF(VLOOKUP(Tabell1345[[#This Row],[Nr]],$BV$3:$CB$11,2,TRUE)=6,VLOOKUP(Tabell1345[[#This Row],[Nr]],$BV$3:$CB$11,6,TRUE),NA())</f>
        <v>#N/A</v>
      </c>
      <c r="AA46" t="e">
        <f ca="1">IF(VLOOKUP(Tabell1345[[#This Row],[Nr]],$BV$3:$CB$11,2,TRUE)=7,VLOOKUP(Tabell1345[[#This Row],[Nr]],$BV$3:$CB$11,6,TRUE),NA())</f>
        <v>#N/A</v>
      </c>
      <c r="AB46" t="e">
        <f ca="1">IF(VLOOKUP(Tabell1345[[#This Row],[Nr]],$BV$3:$CB$11,2,TRUE)=1,VLOOKUP(Tabell1345[[#This Row],[Nr]],$BV$3:$CB$11,7,TRUE),NA())</f>
        <v>#N/A</v>
      </c>
      <c r="AC46">
        <f ca="1">IF(VLOOKUP(Tabell1345[[#This Row],[Nr]],$BV$3:$CB$11,2,TRUE)=2,VLOOKUP(Tabell1345[[#This Row],[Nr]],$BV$3:$CB$11,7,TRUE),NA())</f>
        <v>-0.98000000000000398</v>
      </c>
      <c r="AD46" t="e">
        <f ca="1">IF(VLOOKUP(Tabell1345[[#This Row],[Nr]],$BV$3:$CB$11,2,TRUE)=3,VLOOKUP(Tabell1345[[#This Row],[Nr]],$BV$3:$CB$11,7,TRUE),NA())</f>
        <v>#N/A</v>
      </c>
      <c r="AE46" t="e">
        <f ca="1">IF(VLOOKUP(Tabell1345[[#This Row],[Nr]],$BV$3:$CB$11,2,TRUE)=4,VLOOKUP(Tabell1345[[#This Row],[Nr]],$BV$3:$CB$11,7,TRUE),NA())</f>
        <v>#N/A</v>
      </c>
      <c r="AF46" t="e">
        <f ca="1">IF(VLOOKUP(Tabell1345[[#This Row],[Nr]],$BV$3:$CB$11,2,TRUE)=5,VLOOKUP(Tabell1345[[#This Row],[Nr]],$BV$3:$CB$11,7,TRUE),NA())</f>
        <v>#N/A</v>
      </c>
      <c r="AG46" t="e">
        <f ca="1">IF(VLOOKUP(Tabell1345[[#This Row],[Nr]],$BV$3:$CB$11,2,TRUE)=6,VLOOKUP(Tabell1345[[#This Row],[Nr]],$BV$3:$CB$11,7,TRUE),NA())</f>
        <v>#N/A</v>
      </c>
      <c r="AH46" t="e">
        <f ca="1">IF(VLOOKUP(Tabell1345[[#This Row],[Nr]],$BV$3:$CB$11,2,TRUE)=7,VLOOKUP(Tabell1345[[#This Row],[Nr]],$BV$3:$CB$11,7,TRUE),NA())</f>
        <v>#N/A</v>
      </c>
      <c r="AI46" t="e">
        <f ca="1">IF(VLOOKUP(Tabell1345[[#This Row],[Nr]],$BV$3:$CB$11,2,TRUE)=1,VLOOKUP(Tabell1345[[#This Row],[Nr]],$BV$3:$CB$11,5,TRUE),NA())</f>
        <v>#N/A</v>
      </c>
      <c r="AJ46">
        <f ca="1">IF(VLOOKUP(Tabell1345[[#This Row],[Nr]],$BV$3:$CB$11,2,TRUE)=2,VLOOKUP(Tabell1345[[#This Row],[Nr]],$BV$3:$CB$11,5,TRUE),NA())</f>
        <v>40.5</v>
      </c>
      <c r="AK46" t="e">
        <f ca="1">IF(VLOOKUP(Tabell1345[[#This Row],[Nr]],$BV$3:$CB$11,2,TRUE)=3,VLOOKUP(Tabell1345[[#This Row],[Nr]],$BV$3:$CB$11,5,TRUE),NA())</f>
        <v>#N/A</v>
      </c>
      <c r="AL46" t="e">
        <f ca="1">IF(VLOOKUP(Tabell1345[[#This Row],[Nr]],$BV$3:$CB$11,2,TRUE)=4,VLOOKUP(Tabell1345[[#This Row],[Nr]],$BV$3:$CB$11,5,TRUE),NA())</f>
        <v>#N/A</v>
      </c>
      <c r="AM46" t="e">
        <f ca="1">IF(VLOOKUP(Tabell1345[[#This Row],[Nr]],$BV$3:$CB$11,2,TRUE)=5,VLOOKUP(Tabell1345[[#This Row],[Nr]],$BV$3:$CB$11,5,TRUE),NA())</f>
        <v>#N/A</v>
      </c>
      <c r="AN46" t="e">
        <f ca="1">IF(VLOOKUP(Tabell1345[[#This Row],[Nr]],$BV$3:$CB$11,2,TRUE)=6,VLOOKUP(Tabell1345[[#This Row],[Nr]],$BV$3:$CB$11,5,TRUE),NA())</f>
        <v>#N/A</v>
      </c>
      <c r="AO46" t="e">
        <f ca="1">IF(VLOOKUP(Tabell1345[[#This Row],[Nr]],$BV$3:$CB$11,2,TRUE)=7,VLOOKUP(Tabell1345[[#This Row],[Nr]],$BV$3:$CB$11,5,TRUE),NA())</f>
        <v>#N/A</v>
      </c>
      <c r="AP46" t="e">
        <f ca="1">IF(VLOOKUP(Tabell1345[[#This Row],[Nr]],$BV$3:$CB$11,2,TRUE)=1,Tabell1345[[#This Row],[Verdi_korrigert_IT]],NA())</f>
        <v>#N/A</v>
      </c>
      <c r="AQ46">
        <f ca="1">IF(VLOOKUP(Tabell1345[[#This Row],[Nr]],$BV$3:$CB$11,2,TRUE)=2,Tabell1345[[#This Row],[Verdi_korrigert_IT]],NA())</f>
        <v>39</v>
      </c>
      <c r="AR46" t="e">
        <f ca="1">IF(VLOOKUP(Tabell1345[[#This Row],[Nr]],$BV$3:$CB$11,2,TRUE)=3,Tabell1345[[#This Row],[Verdi_korrigert_IT]],NA())</f>
        <v>#N/A</v>
      </c>
      <c r="AS46" t="e">
        <f ca="1">IF(VLOOKUP(Tabell1345[[#This Row],[Nr]],$BV$3:$CB$11,2,TRUE)=4,Tabell1345[[#This Row],[Verdi_korrigert_IT]],NA())</f>
        <v>#N/A</v>
      </c>
      <c r="AT46" t="e">
        <f ca="1">IF(VLOOKUP(Tabell1345[[#This Row],[Nr]],$BV$3:$CB$11,2,TRUE)=5,Tabell1345[[#This Row],[Verdi_korrigert_IT]],NA())</f>
        <v>#N/A</v>
      </c>
      <c r="AU46" t="e">
        <f ca="1">IF(VLOOKUP(Tabell1345[[#This Row],[Nr]],$BV$3:$CB$11,2,TRUE)=6,Tabell1345[[#This Row],[Verdi_korrigert_IT]],NA())</f>
        <v>#N/A</v>
      </c>
      <c r="AV46" t="e">
        <f ca="1">IF(VLOOKUP(Tabell1345[[#This Row],[Nr]],$BV$3:$CB$11,2,TRUE)=7,Tabell1345[[#This Row],[Verdi_korrigert_IT]],NA())</f>
        <v>#N/A</v>
      </c>
      <c r="AW46">
        <f ca="1">IF(Tabell1345[[#This Row],[Brudd]]&lt;&gt;"*",IF(ISNUMBER(OFFSET(Tabell1345[[#This Row],[ser_indeks]],-1,0)),OFFSET(Tabell1345[[#This Row],[ser_indeks]],-1,0),0),0)+1</f>
        <v>19</v>
      </c>
      <c r="AX46">
        <f ca="1">VLOOKUP(Tabell1345[[#This Row],[Nr]],$BV$2:$BW$9,2,TRUE)</f>
        <v>2</v>
      </c>
      <c r="AY46">
        <f ca="1">IF(OFFSET(Tabell1345[[#This Row],[ser_indeks]],1,0)&lt;Tabell1345[[#This Row],[ser_indeks]],1,0)</f>
        <v>0</v>
      </c>
      <c r="AZ46">
        <f ca="1">IFERROR(VALUE(Tabell1345[[#This Row],[Verdi_korrigert_IT]]),OFFSET(Tabell1345[[#This Row],[verdi_korrigert]],-1,0))</f>
        <v>39</v>
      </c>
      <c r="BA46">
        <f ca="1">_xlfn.RANK.AVG(Tabell1345[[#This Row],[verdi_korrigert]],Tabell1345[verdi_korrigert],1)</f>
        <v>9.5</v>
      </c>
      <c r="BB46">
        <f ca="1">IF(Tabell1345[[#This Row],[rang]]=OFFSET(Tabell1345[[#This Row],[rang]],1,0),1,0)</f>
        <v>0</v>
      </c>
      <c r="BC46">
        <f ca="1">IF(AND(Tabell1345[[#This Row],[rang]]&gt;=OFFSET(Tabell1345[[#This Row],[rang]],-1,0),Tabell1345[[#This Row],[ser_indeks]]&gt;1),IFERROR(VALUE(OFFSET(Tabell1345[[#This Row],[rang_stig]],-1,0)),0)+1,VALUE($CH$3)-1)-Tabell1345[[#This Row],[rang_samme]]</f>
        <v>1</v>
      </c>
      <c r="BD46">
        <f ca="1">IF(AND(Tabell1345[[#This Row],[rang]]&lt;=OFFSET(Tabell1345[[#This Row],[rang]],-1,0),Tabell1345[[#This Row],[ser_indeks]]&gt;1),IFERROR(VALUE(OFFSET(Tabell1345[[#This Row],[rang_synk]],-1,0)),0)+1,VALUE($CH$3)-1)-Tabell1345[[#This Row],[rang_samme]]</f>
        <v>0</v>
      </c>
      <c r="BE46">
        <f ca="1">MAXA(Tabell1345[[#This Row],[rang_stig]:[rang_synk]])</f>
        <v>1</v>
      </c>
      <c r="BF46">
        <f ca="1">($CH$2-1)+_xlfn.AGGREGATE(9,6,Tabell1345[[#This Row],[rang_samme]]:OFFSET(Tabell1345[[#This Row],[rang_samme]],($CH$2-1),0))</f>
        <v>5</v>
      </c>
      <c r="BG46" t="e">
        <f ca="1">IF($G$9="ja",IF(MAXA(Tabell1345[[#This Row],[rang_stigsynk]]:INDIRECT(ADDRESS(ROW(Tabell1345[[#This Row],[rang_stigsynk]])+Tabell1345[[#This Row],[trend_omr]],COLUMN(Tabell1345[[#This Row],[rang_stigsynk]]))))&gt;($CH$2-2),Tabell1345[[#This Row],[Verdi_korrigert_IT]],NA()),NA())</f>
        <v>#N/A</v>
      </c>
      <c r="BH46" s="5">
        <f ca="1">IF(Tabell1345[[#This Row],[ser_indeks]]&gt;3,_xlfn.AGGREGATE(4,4,OFFSET(Tabell1345[[#This Row],[Verdi1]],-3,Tabell1345[[#This Row],[serie_nr]]-1):OFFSET(Tabell1345[[#This Row],[Verdi1]],4,Tabell1345[[#This Row],[serie_nr]]-1)),NA())</f>
        <v>44</v>
      </c>
      <c r="BI46" s="5">
        <f ca="1">IF(Tabell1345[[#This Row],[ser_indeks]]&gt;3,_xlfn.AGGREGATE(5,4,OFFSET(Tabell1345[[#This Row],[Verdi1]],-3,Tabell1345[[#This Row],[serie_nr]]-1):OFFSET(Tabell1345[[#This Row],[Verdi1]],4,Tabell1345[[#This Row],[serie_nr]]-1)),NA())</f>
        <v>18</v>
      </c>
      <c r="BJ46" s="5" t="e">
        <f ca="1">IF(_xlfn.AGGREGATE(4,6,Tabell1345[[#This Row],[til_brudd_rader]]:OFFSET(Tabell1345[[#This Row],[til_brudd_rader]],3,0))&gt;0,NA(),IF(Tabell1345[[#This Row],[skifte_lav1]]&lt;Tabell1345[[#This Row],[Snitt]],Tabell1345[[#This Row],[Verdi_korrigert_IT]],NA()))</f>
        <v>#N/A</v>
      </c>
      <c r="BK46" s="5" t="e">
        <f ca="1">IF(_xlfn.AGGREGATE(4,6,Tabell1345[[#This Row],[til_brudd_rader]]:OFFSET(Tabell1345[[#This Row],[til_brudd_rader]],3,0))&gt;0,NA(),IF(Tabell1345[[#This Row],[skifte_høy1]]&gt;Tabell1345[[#This Row],[Snitt]],Tabell1345[[#This Row],[Verdi_korrigert_IT]],NA()))</f>
        <v>#N/A</v>
      </c>
      <c r="BL46" t="e">
        <f ca="1">IF($G$9="ja",IFERROR(IF(_xlfn.AGGREGATE(4,6,OFFSET(Tabell1345[[#This Row],[skifte_lav2]],-4,0):OFFSET(Tabell1345[[#This Row],[skifte_lav2]],3,1))&gt;0,Tabell1345[[#This Row],[Verdi_korrigert_IT]],NA()),NA()),NA())</f>
        <v>#N/A</v>
      </c>
      <c r="BM46" t="e">
        <f ca="1">IF($G$9="ja",IF(OR(Tabell1345[[#This Row],[Verdi_korrigert_IT]]&gt;Tabell1345[[#This Row],[UCL]],Tabell1345[[#This Row],[Verdi_korrigert_IT]]&lt;Tabell1345[[#This Row],[LCL]]),Tabell1345[[#This Row],[Verdi_korrigert_IT]],NA()),NA())</f>
        <v>#N/A</v>
      </c>
      <c r="BN46">
        <f>IF(Tabell1345[[#This Row],[Brudd]]="x","",Tabell1345[[#This Row],[Verdi]])</f>
        <v>39</v>
      </c>
      <c r="BO46">
        <f>IF(Tabell1345[[#This Row],[Brudd]]="x",NA(),Tabell1345[[#This Row],[Verdi]])</f>
        <v>39</v>
      </c>
      <c r="BP46">
        <f ca="1">IF(ISERROR(Tabell1345[[#This Row],[Verdi_korrigert_IT]]),OFFSET(Tabell1345[[#This Row],[ForrigeGyldige]],-1,0),Tabell1345[[#This Row],[Verdi]])</f>
        <v>39</v>
      </c>
      <c r="BQ46">
        <f>Tabell1345[[#This Row],[Verdi]]</f>
        <v>39</v>
      </c>
    </row>
    <row r="47" spans="1:69" x14ac:dyDescent="0.35">
      <c r="A47">
        <f ca="1">IF(ISNUMBER(OFFSET(Tabell1345[[#This Row],[Nr]],-1,0)),OFFSET(Tabell1345[[#This Row],[Nr]],-1,0))+1</f>
        <v>33</v>
      </c>
      <c r="C47" s="36">
        <v>18</v>
      </c>
      <c r="H47" t="e">
        <f>IF($B$6&lt;&gt;"",$B$6,NA())</f>
        <v>#N/A</v>
      </c>
      <c r="I47">
        <f>IF(OR(Tabell1345[[#This Row],[Brudd]]="*",ROW()-ROW(Tabell1345[#All])+1=ROWS(Tabell1345[#All])),ROW())</f>
        <v>47</v>
      </c>
      <c r="J47" s="2">
        <f ca="1">VLOOKUP(Tabell1345[[#This Row],[Nr]],$BV$2:$CB$11,4,TRUE)</f>
        <v>42.7</v>
      </c>
      <c r="K47" s="2">
        <f ca="1">VLOOKUP(Tabell1345[[#This Row],[Nr]],$BV$2:$CB$11,7,TRUE)</f>
        <v>-0.98000000000000398</v>
      </c>
      <c r="L47" s="2">
        <f ca="1">VLOOKUP(Tabell1345[[#This Row],[Nr]],$BV$2:$CB$11,6,TRUE)</f>
        <v>86.38000000000001</v>
      </c>
      <c r="M47">
        <f ca="1">IF(OR(Tabell1345[[#This Row],[Brudd]]="*",ISERROR(Tabell1345[[#This Row],[Verdi_korrigert_IT]])),"",IF(ISNUMBER(OFFSET(Tabell1345[[#This Row],[ForrigeGyldige]],-1,0)),ABS(Tabell1345[[#This Row],[Verdi_korrigert_IT]]-OFFSET(Tabell1345[[#This Row],[ForrigeGyldige]],-1,0)),""))</f>
        <v>21</v>
      </c>
      <c r="N47" t="e">
        <f ca="1">IF(VLOOKUP(Tabell1345[[#This Row],[Nr]],$BV$3:$CB$11,2,TRUE)=1,VLOOKUP(Tabell1345[[#This Row],[Nr]],$BV$3:$CB$11,4,TRUE),NA())</f>
        <v>#N/A</v>
      </c>
      <c r="O47">
        <f ca="1">IF(VLOOKUP(Tabell1345[[#This Row],[Nr]],$BV$3:$CB$11,2,TRUE)=2,VLOOKUP(Tabell1345[[#This Row],[Nr]],$BV$3:$CB$11,4,TRUE),NA())</f>
        <v>42.7</v>
      </c>
      <c r="P47" s="2" t="e">
        <f ca="1">IF(VLOOKUP(Tabell1345[[#This Row],[Nr]],$BV$3:$CB$11,2,TRUE)=3,VLOOKUP(Tabell1345[[#This Row],[Nr]],$BV$3:$CB$11,4,TRUE),NA())</f>
        <v>#N/A</v>
      </c>
      <c r="Q47" t="e">
        <f ca="1">IF(VLOOKUP(Tabell1345[[#This Row],[Nr]],$BV$3:$CB$11,2,TRUE)=4,VLOOKUP(Tabell1345[[#This Row],[Nr]],$BV$3:$CB$11,4,TRUE),NA())</f>
        <v>#N/A</v>
      </c>
      <c r="R47" t="e">
        <f ca="1">IF(VLOOKUP(Tabell1345[[#This Row],[Nr]],$BV$3:$CB$11,2,TRUE)=5,VLOOKUP(Tabell1345[[#This Row],[Nr]],$BV$3:$CB$11,4,TRUE),NA())</f>
        <v>#N/A</v>
      </c>
      <c r="S47" t="e">
        <f ca="1">IF(VLOOKUP(Tabell1345[[#This Row],[Nr]],$BV$3:$CB$11,2,TRUE)=6,VLOOKUP(Tabell1345[[#This Row],[Nr]],$BV$3:$CB$11,4,TRUE),NA())</f>
        <v>#N/A</v>
      </c>
      <c r="T47" t="e">
        <f ca="1">IF(VLOOKUP(Tabell1345[[#This Row],[Nr]],$BV$3:$CB$11,2,TRUE)=7,VLOOKUP(Tabell1345[[#This Row],[Nr]],$BV$3:$CB$11,4,TRUE),NA())</f>
        <v>#N/A</v>
      </c>
      <c r="U47" t="e">
        <f ca="1">IF(VLOOKUP(Tabell1345[[#This Row],[Nr]],$BV$3:$CB$11,2,TRUE)=1,VLOOKUP(Tabell1345[[#This Row],[Nr]],$BV$3:$CB$11,6,TRUE),NA())</f>
        <v>#N/A</v>
      </c>
      <c r="V47">
        <f ca="1">IF(VLOOKUP(Tabell1345[[#This Row],[Nr]],$BV$3:$CB$11,2,TRUE)=2,VLOOKUP(Tabell1345[[#This Row],[Nr]],$BV$3:$CB$11,6,TRUE),NA())</f>
        <v>86.38000000000001</v>
      </c>
      <c r="W47" t="e">
        <f ca="1">IF(VLOOKUP(Tabell1345[[#This Row],[Nr]],$BV$3:$CB$11,2,TRUE)=3,VLOOKUP(Tabell1345[[#This Row],[Nr]],$BV$3:$CB$11,6,TRUE),NA())</f>
        <v>#N/A</v>
      </c>
      <c r="X47" t="e">
        <f ca="1">IF(VLOOKUP(Tabell1345[[#This Row],[Nr]],$BV$3:$CB$11,2,TRUE)=4,VLOOKUP(Tabell1345[[#This Row],[Nr]],$BV$3:$CB$11,6,TRUE),NA())</f>
        <v>#N/A</v>
      </c>
      <c r="Y47" t="e">
        <f ca="1">IF(VLOOKUP(Tabell1345[[#This Row],[Nr]],$BV$3:$CB$11,2,TRUE)=5,VLOOKUP(Tabell1345[[#This Row],[Nr]],$BV$3:$CB$11,6,TRUE),NA())</f>
        <v>#N/A</v>
      </c>
      <c r="Z47" t="e">
        <f ca="1">IF(VLOOKUP(Tabell1345[[#This Row],[Nr]],$BV$3:$CB$11,2,TRUE)=6,VLOOKUP(Tabell1345[[#This Row],[Nr]],$BV$3:$CB$11,6,TRUE),NA())</f>
        <v>#N/A</v>
      </c>
      <c r="AA47" t="e">
        <f ca="1">IF(VLOOKUP(Tabell1345[[#This Row],[Nr]],$BV$3:$CB$11,2,TRUE)=7,VLOOKUP(Tabell1345[[#This Row],[Nr]],$BV$3:$CB$11,6,TRUE),NA())</f>
        <v>#N/A</v>
      </c>
      <c r="AB47" t="e">
        <f ca="1">IF(VLOOKUP(Tabell1345[[#This Row],[Nr]],$BV$3:$CB$11,2,TRUE)=1,VLOOKUP(Tabell1345[[#This Row],[Nr]],$BV$3:$CB$11,7,TRUE),NA())</f>
        <v>#N/A</v>
      </c>
      <c r="AC47">
        <f ca="1">IF(VLOOKUP(Tabell1345[[#This Row],[Nr]],$BV$3:$CB$11,2,TRUE)=2,VLOOKUP(Tabell1345[[#This Row],[Nr]],$BV$3:$CB$11,7,TRUE),NA())</f>
        <v>-0.98000000000000398</v>
      </c>
      <c r="AD47" t="e">
        <f ca="1">IF(VLOOKUP(Tabell1345[[#This Row],[Nr]],$BV$3:$CB$11,2,TRUE)=3,VLOOKUP(Tabell1345[[#This Row],[Nr]],$BV$3:$CB$11,7,TRUE),NA())</f>
        <v>#N/A</v>
      </c>
      <c r="AE47" t="e">
        <f ca="1">IF(VLOOKUP(Tabell1345[[#This Row],[Nr]],$BV$3:$CB$11,2,TRUE)=4,VLOOKUP(Tabell1345[[#This Row],[Nr]],$BV$3:$CB$11,7,TRUE),NA())</f>
        <v>#N/A</v>
      </c>
      <c r="AF47" t="e">
        <f ca="1">IF(VLOOKUP(Tabell1345[[#This Row],[Nr]],$BV$3:$CB$11,2,TRUE)=5,VLOOKUP(Tabell1345[[#This Row],[Nr]],$BV$3:$CB$11,7,TRUE),NA())</f>
        <v>#N/A</v>
      </c>
      <c r="AG47" t="e">
        <f ca="1">IF(VLOOKUP(Tabell1345[[#This Row],[Nr]],$BV$3:$CB$11,2,TRUE)=6,VLOOKUP(Tabell1345[[#This Row],[Nr]],$BV$3:$CB$11,7,TRUE),NA())</f>
        <v>#N/A</v>
      </c>
      <c r="AH47" t="e">
        <f ca="1">IF(VLOOKUP(Tabell1345[[#This Row],[Nr]],$BV$3:$CB$11,2,TRUE)=7,VLOOKUP(Tabell1345[[#This Row],[Nr]],$BV$3:$CB$11,7,TRUE),NA())</f>
        <v>#N/A</v>
      </c>
      <c r="AI47" t="e">
        <f ca="1">IF(VLOOKUP(Tabell1345[[#This Row],[Nr]],$BV$3:$CB$11,2,TRUE)=1,VLOOKUP(Tabell1345[[#This Row],[Nr]],$BV$3:$CB$11,5,TRUE),NA())</f>
        <v>#N/A</v>
      </c>
      <c r="AJ47">
        <f ca="1">IF(VLOOKUP(Tabell1345[[#This Row],[Nr]],$BV$3:$CB$11,2,TRUE)=2,VLOOKUP(Tabell1345[[#This Row],[Nr]],$BV$3:$CB$11,5,TRUE),NA())</f>
        <v>40.5</v>
      </c>
      <c r="AK47" t="e">
        <f ca="1">IF(VLOOKUP(Tabell1345[[#This Row],[Nr]],$BV$3:$CB$11,2,TRUE)=3,VLOOKUP(Tabell1345[[#This Row],[Nr]],$BV$3:$CB$11,5,TRUE),NA())</f>
        <v>#N/A</v>
      </c>
      <c r="AL47" t="e">
        <f ca="1">IF(VLOOKUP(Tabell1345[[#This Row],[Nr]],$BV$3:$CB$11,2,TRUE)=4,VLOOKUP(Tabell1345[[#This Row],[Nr]],$BV$3:$CB$11,5,TRUE),NA())</f>
        <v>#N/A</v>
      </c>
      <c r="AM47" t="e">
        <f ca="1">IF(VLOOKUP(Tabell1345[[#This Row],[Nr]],$BV$3:$CB$11,2,TRUE)=5,VLOOKUP(Tabell1345[[#This Row],[Nr]],$BV$3:$CB$11,5,TRUE),NA())</f>
        <v>#N/A</v>
      </c>
      <c r="AN47" t="e">
        <f ca="1">IF(VLOOKUP(Tabell1345[[#This Row],[Nr]],$BV$3:$CB$11,2,TRUE)=6,VLOOKUP(Tabell1345[[#This Row],[Nr]],$BV$3:$CB$11,5,TRUE),NA())</f>
        <v>#N/A</v>
      </c>
      <c r="AO47" t="e">
        <f ca="1">IF(VLOOKUP(Tabell1345[[#This Row],[Nr]],$BV$3:$CB$11,2,TRUE)=7,VLOOKUP(Tabell1345[[#This Row],[Nr]],$BV$3:$CB$11,5,TRUE),NA())</f>
        <v>#N/A</v>
      </c>
      <c r="AP47" t="e">
        <f ca="1">IF(VLOOKUP(Tabell1345[[#This Row],[Nr]],$BV$3:$CB$11,2,TRUE)=1,Tabell1345[[#This Row],[Verdi_korrigert_IT]],NA())</f>
        <v>#N/A</v>
      </c>
      <c r="AQ47">
        <f ca="1">IF(VLOOKUP(Tabell1345[[#This Row],[Nr]],$BV$3:$CB$11,2,TRUE)=2,Tabell1345[[#This Row],[Verdi_korrigert_IT]],NA())</f>
        <v>18</v>
      </c>
      <c r="AR47" t="e">
        <f ca="1">IF(VLOOKUP(Tabell1345[[#This Row],[Nr]],$BV$3:$CB$11,2,TRUE)=3,Tabell1345[[#This Row],[Verdi_korrigert_IT]],NA())</f>
        <v>#N/A</v>
      </c>
      <c r="AS47" t="e">
        <f ca="1">IF(VLOOKUP(Tabell1345[[#This Row],[Nr]],$BV$3:$CB$11,2,TRUE)=4,Tabell1345[[#This Row],[Verdi_korrigert_IT]],NA())</f>
        <v>#N/A</v>
      </c>
      <c r="AT47" t="e">
        <f ca="1">IF(VLOOKUP(Tabell1345[[#This Row],[Nr]],$BV$3:$CB$11,2,TRUE)=5,Tabell1345[[#This Row],[Verdi_korrigert_IT]],NA())</f>
        <v>#N/A</v>
      </c>
      <c r="AU47" t="e">
        <f ca="1">IF(VLOOKUP(Tabell1345[[#This Row],[Nr]],$BV$3:$CB$11,2,TRUE)=6,Tabell1345[[#This Row],[Verdi_korrigert_IT]],NA())</f>
        <v>#N/A</v>
      </c>
      <c r="AV47" t="e">
        <f ca="1">IF(VLOOKUP(Tabell1345[[#This Row],[Nr]],$BV$3:$CB$11,2,TRUE)=7,Tabell1345[[#This Row],[Verdi_korrigert_IT]],NA())</f>
        <v>#N/A</v>
      </c>
      <c r="AW47">
        <f ca="1">IF(Tabell1345[[#This Row],[Brudd]]&lt;&gt;"*",IF(ISNUMBER(OFFSET(Tabell1345[[#This Row],[ser_indeks]],-1,0)),OFFSET(Tabell1345[[#This Row],[ser_indeks]],-1,0),0),0)+1</f>
        <v>20</v>
      </c>
      <c r="AX47">
        <f ca="1">VLOOKUP(Tabell1345[[#This Row],[Nr]],$BV$2:$BW$9,2,TRUE)</f>
        <v>2</v>
      </c>
      <c r="AY47">
        <f ca="1">IF(OFFSET(Tabell1345[[#This Row],[ser_indeks]],1,0)&lt;Tabell1345[[#This Row],[ser_indeks]],1,0)</f>
        <v>1</v>
      </c>
      <c r="AZ47">
        <f ca="1">IFERROR(VALUE(Tabell1345[[#This Row],[Verdi_korrigert_IT]]),OFFSET(Tabell1345[[#This Row],[verdi_korrigert]],-1,0))</f>
        <v>18</v>
      </c>
      <c r="BA47">
        <f ca="1">_xlfn.RANK.AVG(Tabell1345[[#This Row],[verdi_korrigert]],Tabell1345[verdi_korrigert],1)</f>
        <v>2</v>
      </c>
      <c r="BB47">
        <f ca="1">IF(Tabell1345[[#This Row],[rang]]=OFFSET(Tabell1345[[#This Row],[rang]],1,0),1,0)</f>
        <v>0</v>
      </c>
      <c r="BC47">
        <f ca="1">IF(AND(Tabell1345[[#This Row],[rang]]&gt;=OFFSET(Tabell1345[[#This Row],[rang]],-1,0),Tabell1345[[#This Row],[ser_indeks]]&gt;1),IFERROR(VALUE(OFFSET(Tabell1345[[#This Row],[rang_stig]],-1,0)),0)+1,VALUE($CH$3)-1)-Tabell1345[[#This Row],[rang_samme]]</f>
        <v>0</v>
      </c>
      <c r="BD47">
        <f ca="1">IF(AND(Tabell1345[[#This Row],[rang]]&lt;=OFFSET(Tabell1345[[#This Row],[rang]],-1,0),Tabell1345[[#This Row],[ser_indeks]]&gt;1),IFERROR(VALUE(OFFSET(Tabell1345[[#This Row],[rang_synk]],-1,0)),0)+1,VALUE($CH$3)-1)-Tabell1345[[#This Row],[rang_samme]]</f>
        <v>1</v>
      </c>
      <c r="BE47">
        <f ca="1">MAXA(Tabell1345[[#This Row],[rang_stig]:[rang_synk]])</f>
        <v>1</v>
      </c>
      <c r="BF47">
        <f ca="1">($CH$2-1)+_xlfn.AGGREGATE(9,6,Tabell1345[[#This Row],[rang_samme]]:OFFSET(Tabell1345[[#This Row],[rang_samme]],($CH$2-1),0))</f>
        <v>5</v>
      </c>
      <c r="BG47" t="e">
        <f ca="1">IF($G$9="ja",IF(MAXA(Tabell1345[[#This Row],[rang_stigsynk]]:INDIRECT(ADDRESS(ROW(Tabell1345[[#This Row],[rang_stigsynk]])+Tabell1345[[#This Row],[trend_omr]],COLUMN(Tabell1345[[#This Row],[rang_stigsynk]]))))&gt;($CH$2-2),Tabell1345[[#This Row],[Verdi_korrigert_IT]],NA()),NA())</f>
        <v>#N/A</v>
      </c>
      <c r="BH47" s="5">
        <f ca="1">IF(Tabell1345[[#This Row],[ser_indeks]]&gt;3,_xlfn.AGGREGATE(4,4,OFFSET(Tabell1345[[#This Row],[Verdi1]],-3,Tabell1345[[#This Row],[serie_nr]]-1):OFFSET(Tabell1345[[#This Row],[Verdi1]],4,Tabell1345[[#This Row],[serie_nr]]-1)),NA())</f>
        <v>44</v>
      </c>
      <c r="BI47" s="5">
        <f ca="1">IF(Tabell1345[[#This Row],[ser_indeks]]&gt;3,_xlfn.AGGREGATE(5,4,OFFSET(Tabell1345[[#This Row],[Verdi1]],-3,Tabell1345[[#This Row],[serie_nr]]-1):OFFSET(Tabell1345[[#This Row],[Verdi1]],4,Tabell1345[[#This Row],[serie_nr]]-1)),NA())</f>
        <v>18</v>
      </c>
      <c r="BJ47" s="5" t="e">
        <f ca="1">IF(_xlfn.AGGREGATE(4,6,Tabell1345[[#This Row],[til_brudd_rader]]:OFFSET(Tabell1345[[#This Row],[til_brudd_rader]],3,0))&gt;0,NA(),IF(Tabell1345[[#This Row],[skifte_lav1]]&lt;Tabell1345[[#This Row],[Snitt]],Tabell1345[[#This Row],[Verdi_korrigert_IT]],NA()))</f>
        <v>#N/A</v>
      </c>
      <c r="BK47" s="5" t="e">
        <f ca="1">IF(_xlfn.AGGREGATE(4,6,Tabell1345[[#This Row],[til_brudd_rader]]:OFFSET(Tabell1345[[#This Row],[til_brudd_rader]],3,0))&gt;0,NA(),IF(Tabell1345[[#This Row],[skifte_høy1]]&gt;Tabell1345[[#This Row],[Snitt]],Tabell1345[[#This Row],[Verdi_korrigert_IT]],NA()))</f>
        <v>#N/A</v>
      </c>
      <c r="BL47" t="e">
        <f ca="1">IF($G$9="ja",IFERROR(IF(_xlfn.AGGREGATE(4,6,OFFSET(Tabell1345[[#This Row],[skifte_lav2]],-4,0):OFFSET(Tabell1345[[#This Row],[skifte_lav2]],3,1))&gt;0,Tabell1345[[#This Row],[Verdi_korrigert_IT]],NA()),NA()),NA())</f>
        <v>#N/A</v>
      </c>
      <c r="BM47" t="e">
        <f ca="1">IF($G$9="ja",IF(OR(Tabell1345[[#This Row],[Verdi_korrigert_IT]]&gt;Tabell1345[[#This Row],[UCL]],Tabell1345[[#This Row],[Verdi_korrigert_IT]]&lt;Tabell1345[[#This Row],[LCL]]),Tabell1345[[#This Row],[Verdi_korrigert_IT]],NA()),NA())</f>
        <v>#N/A</v>
      </c>
      <c r="BN47">
        <f>IF(Tabell1345[[#This Row],[Brudd]]="x","",Tabell1345[[#This Row],[Verdi]])</f>
        <v>18</v>
      </c>
      <c r="BO47">
        <f>IF(Tabell1345[[#This Row],[Brudd]]="x",NA(),Tabell1345[[#This Row],[Verdi]])</f>
        <v>18</v>
      </c>
      <c r="BP47">
        <f ca="1">IF(ISERROR(Tabell1345[[#This Row],[Verdi_korrigert_IT]]),OFFSET(Tabell1345[[#This Row],[ForrigeGyldige]],-1,0),Tabell1345[[#This Row],[Verdi]])</f>
        <v>18</v>
      </c>
      <c r="BQ47">
        <f>Tabell1345[[#This Row],[Verdi]]</f>
        <v>18</v>
      </c>
    </row>
  </sheetData>
  <conditionalFormatting sqref="A15:A47">
    <cfRule type="containsBlanks" dxfId="4" priority="3">
      <formula>LEN(TRIM(A15))=0</formula>
    </cfRule>
  </conditionalFormatting>
  <conditionalFormatting sqref="C15:C47">
    <cfRule type="expression" dxfId="3" priority="2">
      <formula>OR(NOT(ISNUMBER(0+C15)),ISBLANK(C15))</formula>
    </cfRule>
  </conditionalFormatting>
  <conditionalFormatting sqref="D15:D47">
    <cfRule type="cellIs" dxfId="2" priority="1" operator="equal">
      <formula>"*"</formula>
    </cfRule>
    <cfRule type="cellIs" dxfId="1" priority="6" operator="equal">
      <formula>"x"</formula>
    </cfRule>
    <cfRule type="notContainsErrors" dxfId="0" priority="8">
      <formula>NOT(ISERROR(D15))</formula>
    </cfRule>
  </conditionalFormatting>
  <dataValidations count="3">
    <dataValidation type="whole" showInputMessage="1" showErrorMessage="1" sqref="CH2" xr:uid="{00000000-0002-0000-0000-000000000000}">
      <formula1>1</formula1>
      <formula2>99</formula2>
    </dataValidation>
    <dataValidation type="whole" allowBlank="1" showInputMessage="1" showErrorMessage="1" sqref="CH3" xr:uid="{00000000-0002-0000-0000-000001000000}">
      <formula1>0</formula1>
      <formula2>1</formula2>
    </dataValidation>
    <dataValidation type="whole" showInputMessage="1" showErrorMessage="1" sqref="G4" xr:uid="{00000000-0002-0000-0000-000002000000}">
      <formula1>0</formula1>
      <formula2>9</formula2>
    </dataValidation>
  </dataValidations>
  <pageMargins left="0.7" right="0.7" top="0.75" bottom="0.75" header="0.3" footer="0.3"/>
  <pageSetup paperSize="9" scale="80" orientation="portrait" r:id="rId1"/>
  <colBreaks count="1" manualBreakCount="1">
    <brk id="71" max="54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2:L35"/>
  <sheetViews>
    <sheetView topLeftCell="A10" zoomScaleNormal="100" workbookViewId="0">
      <selection activeCell="H28" sqref="H28"/>
    </sheetView>
  </sheetViews>
  <sheetFormatPr baseColWidth="10" defaultColWidth="11.453125" defaultRowHeight="14.5" x14ac:dyDescent="0.35"/>
  <cols>
    <col min="1" max="1" width="6.26953125" customWidth="1"/>
    <col min="10" max="10" width="13" customWidth="1"/>
  </cols>
  <sheetData>
    <row r="12" spans="1:12" x14ac:dyDescent="0.35">
      <c r="B12" t="s">
        <v>109</v>
      </c>
      <c r="C12" s="30">
        <v>1</v>
      </c>
      <c r="D12" s="30">
        <v>1</v>
      </c>
      <c r="E12" s="30">
        <v>1</v>
      </c>
      <c r="F12" s="30">
        <v>1</v>
      </c>
      <c r="G12" s="30">
        <v>1</v>
      </c>
      <c r="H12" s="30">
        <v>1</v>
      </c>
      <c r="I12" s="30">
        <v>1</v>
      </c>
      <c r="J12" s="33" t="s">
        <v>110</v>
      </c>
      <c r="K12" s="34">
        <f>SUM(C$12:I$12)</f>
        <v>7</v>
      </c>
    </row>
    <row r="14" spans="1:12" x14ac:dyDescent="0.35">
      <c r="A14" t="s">
        <v>35</v>
      </c>
      <c r="B14" t="s">
        <v>36</v>
      </c>
      <c r="C14" t="s">
        <v>74</v>
      </c>
      <c r="D14" t="s">
        <v>75</v>
      </c>
      <c r="E14" t="s">
        <v>76</v>
      </c>
      <c r="F14" t="s">
        <v>77</v>
      </c>
      <c r="G14" t="s">
        <v>78</v>
      </c>
      <c r="H14" t="s">
        <v>79</v>
      </c>
      <c r="I14" t="s">
        <v>80</v>
      </c>
      <c r="J14" t="s">
        <v>111</v>
      </c>
      <c r="K14" t="s">
        <v>112</v>
      </c>
      <c r="L14" t="s">
        <v>113</v>
      </c>
    </row>
    <row r="15" spans="1:12" x14ac:dyDescent="0.35">
      <c r="A15">
        <f ca="1">IF(ISNUMBER(OFFSET(Tabell1[[#This Row],[Nr]],-1,0)),OFFSET(Tabell1[[#This Row],[Nr]],-1,0))+1</f>
        <v>1</v>
      </c>
      <c r="C15" s="31">
        <v>1</v>
      </c>
      <c r="D15" s="31">
        <v>0</v>
      </c>
      <c r="E15" s="31">
        <v>1</v>
      </c>
      <c r="F15" s="31">
        <v>1</v>
      </c>
      <c r="G15" s="31">
        <v>1</v>
      </c>
      <c r="H15" s="31"/>
      <c r="I15" s="31"/>
      <c r="J15">
        <f>Tabell1[[#This Row],[Verdi1]]*C$12+Tabell1[[#This Row],[Verdi2]]*D$12+Tabell1[[#This Row],[Verdi3]]*E$12+Tabell1[[#This Row],[Verdi4]]*F$12+Tabell1[[#This Row],[Verdi5]]*G$12+Tabell1[[#This Row],[Verdi6]]*H$12+Tabell1[[#This Row],[Verdi7]]*I$12</f>
        <v>4</v>
      </c>
      <c r="K15" s="32">
        <f>Tabell1[[#This Row],[Totalskår]]/K$12*100</f>
        <v>57.142857142857139</v>
      </c>
      <c r="L15" s="31"/>
    </row>
    <row r="16" spans="1:12" x14ac:dyDescent="0.35">
      <c r="A16">
        <f ca="1">IF(ISNUMBER(OFFSET(Tabell1[[#This Row],[Nr]],-1,0)),OFFSET(Tabell1[[#This Row],[Nr]],-1,0))+1</f>
        <v>2</v>
      </c>
      <c r="C16" s="31"/>
      <c r="D16" s="31"/>
      <c r="E16" s="31"/>
      <c r="F16" s="31">
        <v>1</v>
      </c>
      <c r="G16" s="31"/>
      <c r="H16" s="31"/>
      <c r="I16" s="31"/>
      <c r="J16">
        <f>Tabell1[[#This Row],[Verdi1]]*C$12+Tabell1[[#This Row],[Verdi2]]*D$12+Tabell1[[#This Row],[Verdi3]]*E$12+Tabell1[[#This Row],[Verdi4]]*F$12+Tabell1[[#This Row],[Verdi5]]*G$12+Tabell1[[#This Row],[Verdi6]]*H$12+Tabell1[[#This Row],[Verdi7]]*I$12</f>
        <v>1</v>
      </c>
      <c r="K16" s="32">
        <f>Tabell1[[#This Row],[Totalskår]]/K$12*100</f>
        <v>14.285714285714285</v>
      </c>
      <c r="L16" s="31"/>
    </row>
    <row r="17" spans="1:12" x14ac:dyDescent="0.35">
      <c r="A17">
        <f ca="1">IF(ISNUMBER(OFFSET(Tabell1[[#This Row],[Nr]],-1,0)),OFFSET(Tabell1[[#This Row],[Nr]],-1,0))+1</f>
        <v>3</v>
      </c>
      <c r="C17" s="31"/>
      <c r="D17" s="31"/>
      <c r="E17" s="31">
        <v>1</v>
      </c>
      <c r="F17" s="31"/>
      <c r="G17" s="31"/>
      <c r="H17" s="31"/>
      <c r="I17" s="31"/>
      <c r="J17">
        <f>Tabell1[[#This Row],[Verdi1]]*C$12+Tabell1[[#This Row],[Verdi2]]*D$12+Tabell1[[#This Row],[Verdi3]]*E$12+Tabell1[[#This Row],[Verdi4]]*F$12+Tabell1[[#This Row],[Verdi5]]*G$12+Tabell1[[#This Row],[Verdi6]]*H$12+Tabell1[[#This Row],[Verdi7]]*I$12</f>
        <v>1</v>
      </c>
      <c r="K17" s="32">
        <f>Tabell1[[#This Row],[Totalskår]]/K$12*100</f>
        <v>14.285714285714285</v>
      </c>
      <c r="L17" s="31"/>
    </row>
    <row r="18" spans="1:12" x14ac:dyDescent="0.35">
      <c r="A18">
        <f ca="1">IF(ISNUMBER(OFFSET(Tabell1[[#This Row],[Nr]],-1,0)),OFFSET(Tabell1[[#This Row],[Nr]],-1,0))+1</f>
        <v>4</v>
      </c>
      <c r="C18" s="31"/>
      <c r="D18" s="31"/>
      <c r="E18" s="31"/>
      <c r="F18" s="31">
        <v>1</v>
      </c>
      <c r="G18" s="31">
        <v>1</v>
      </c>
      <c r="H18" s="31"/>
      <c r="I18" s="31"/>
      <c r="J18">
        <f>Tabell1[[#This Row],[Verdi1]]*C$12+Tabell1[[#This Row],[Verdi2]]*D$12+Tabell1[[#This Row],[Verdi3]]*E$12+Tabell1[[#This Row],[Verdi4]]*F$12+Tabell1[[#This Row],[Verdi5]]*G$12+Tabell1[[#This Row],[Verdi6]]*H$12+Tabell1[[#This Row],[Verdi7]]*I$12</f>
        <v>2</v>
      </c>
      <c r="K18" s="32">
        <f>Tabell1[[#This Row],[Totalskår]]/K$12*100</f>
        <v>28.571428571428569</v>
      </c>
      <c r="L18" s="31"/>
    </row>
    <row r="19" spans="1:12" x14ac:dyDescent="0.35">
      <c r="A19">
        <f ca="1">IF(ISNUMBER(OFFSET(Tabell1[[#This Row],[Nr]],-1,0)),OFFSET(Tabell1[[#This Row],[Nr]],-1,0))+1</f>
        <v>5</v>
      </c>
      <c r="C19" s="31"/>
      <c r="D19" s="31"/>
      <c r="E19" s="31"/>
      <c r="F19" s="31">
        <v>1</v>
      </c>
      <c r="G19" s="31"/>
      <c r="H19" s="31"/>
      <c r="I19" s="31"/>
      <c r="J19">
        <f>Tabell1[[#This Row],[Verdi1]]*C$12+Tabell1[[#This Row],[Verdi2]]*D$12+Tabell1[[#This Row],[Verdi3]]*E$12+Tabell1[[#This Row],[Verdi4]]*F$12+Tabell1[[#This Row],[Verdi5]]*G$12+Tabell1[[#This Row],[Verdi6]]*H$12+Tabell1[[#This Row],[Verdi7]]*I$12</f>
        <v>1</v>
      </c>
      <c r="K19" s="32">
        <f>Tabell1[[#This Row],[Totalskår]]/K$12*100</f>
        <v>14.285714285714285</v>
      </c>
      <c r="L19" s="31"/>
    </row>
    <row r="20" spans="1:12" x14ac:dyDescent="0.35">
      <c r="A20">
        <f ca="1">IF(ISNUMBER(OFFSET(Tabell1[[#This Row],[Nr]],-1,0)),OFFSET(Tabell1[[#This Row],[Nr]],-1,0))+1</f>
        <v>6</v>
      </c>
      <c r="C20" s="31"/>
      <c r="D20" s="31"/>
      <c r="E20" s="31">
        <v>1</v>
      </c>
      <c r="F20" s="31"/>
      <c r="G20" s="31"/>
      <c r="H20" s="31"/>
      <c r="I20" s="31"/>
      <c r="J20">
        <f>Tabell1[[#This Row],[Verdi1]]*C$12+Tabell1[[#This Row],[Verdi2]]*D$12+Tabell1[[#This Row],[Verdi3]]*E$12+Tabell1[[#This Row],[Verdi4]]*F$12+Tabell1[[#This Row],[Verdi5]]*G$12+Tabell1[[#This Row],[Verdi6]]*H$12+Tabell1[[#This Row],[Verdi7]]*I$12</f>
        <v>1</v>
      </c>
      <c r="K20" s="32">
        <f>Tabell1[[#This Row],[Totalskår]]/K$12*100</f>
        <v>14.285714285714285</v>
      </c>
      <c r="L20" s="31"/>
    </row>
    <row r="21" spans="1:12" x14ac:dyDescent="0.35">
      <c r="A21">
        <f ca="1">IF(ISNUMBER(OFFSET(Tabell1[[#This Row],[Nr]],-1,0)),OFFSET(Tabell1[[#This Row],[Nr]],-1,0))+1</f>
        <v>7</v>
      </c>
      <c r="C21" s="31">
        <v>1</v>
      </c>
      <c r="D21" s="31"/>
      <c r="E21" s="31"/>
      <c r="F21" s="31"/>
      <c r="G21" s="31"/>
      <c r="H21" s="31"/>
      <c r="I21" s="31"/>
      <c r="J21">
        <f>Tabell1[[#This Row],[Verdi1]]*C$12+Tabell1[[#This Row],[Verdi2]]*D$12+Tabell1[[#This Row],[Verdi3]]*E$12+Tabell1[[#This Row],[Verdi4]]*F$12+Tabell1[[#This Row],[Verdi5]]*G$12+Tabell1[[#This Row],[Verdi6]]*H$12+Tabell1[[#This Row],[Verdi7]]*I$12</f>
        <v>1</v>
      </c>
      <c r="K21" s="32">
        <f>Tabell1[[#This Row],[Totalskår]]/K$12*100</f>
        <v>14.285714285714285</v>
      </c>
      <c r="L21" s="31"/>
    </row>
    <row r="22" spans="1:12" x14ac:dyDescent="0.35">
      <c r="A22">
        <f ca="1">IF(ISNUMBER(OFFSET(Tabell1[[#This Row],[Nr]],-1,0)),OFFSET(Tabell1[[#This Row],[Nr]],-1,0))+1</f>
        <v>8</v>
      </c>
      <c r="C22" s="31"/>
      <c r="D22" s="31">
        <v>1</v>
      </c>
      <c r="E22" s="31"/>
      <c r="F22" s="31"/>
      <c r="G22" s="31"/>
      <c r="H22" s="31"/>
      <c r="I22" s="31"/>
      <c r="J22">
        <f>Tabell1[[#This Row],[Verdi1]]*C$12+Tabell1[[#This Row],[Verdi2]]*D$12+Tabell1[[#This Row],[Verdi3]]*E$12+Tabell1[[#This Row],[Verdi4]]*F$12+Tabell1[[#This Row],[Verdi5]]*G$12+Tabell1[[#This Row],[Verdi6]]*H$12+Tabell1[[#This Row],[Verdi7]]*I$12</f>
        <v>1</v>
      </c>
      <c r="K22" s="32">
        <f>Tabell1[[#This Row],[Totalskår]]/K$12*100</f>
        <v>14.285714285714285</v>
      </c>
      <c r="L22" s="31"/>
    </row>
    <row r="23" spans="1:12" x14ac:dyDescent="0.35">
      <c r="A23">
        <f ca="1">IF(ISNUMBER(OFFSET(Tabell1[[#This Row],[Nr]],-1,0)),OFFSET(Tabell1[[#This Row],[Nr]],-1,0))+1</f>
        <v>9</v>
      </c>
      <c r="C23" s="31"/>
      <c r="D23" s="31"/>
      <c r="E23" s="31"/>
      <c r="F23" s="31">
        <v>1</v>
      </c>
      <c r="G23" s="31"/>
      <c r="H23" s="31"/>
      <c r="I23" s="31"/>
      <c r="J23">
        <f>Tabell1[[#This Row],[Verdi1]]*C$12+Tabell1[[#This Row],[Verdi2]]*D$12+Tabell1[[#This Row],[Verdi3]]*E$12+Tabell1[[#This Row],[Verdi4]]*F$12+Tabell1[[#This Row],[Verdi5]]*G$12+Tabell1[[#This Row],[Verdi6]]*H$12+Tabell1[[#This Row],[Verdi7]]*I$12</f>
        <v>1</v>
      </c>
      <c r="K23" s="32">
        <f>Tabell1[[#This Row],[Totalskår]]/K$12*100</f>
        <v>14.285714285714285</v>
      </c>
      <c r="L23" s="31"/>
    </row>
    <row r="24" spans="1:12" x14ac:dyDescent="0.35">
      <c r="A24">
        <f ca="1">IF(ISNUMBER(OFFSET(Tabell1[[#This Row],[Nr]],-1,0)),OFFSET(Tabell1[[#This Row],[Nr]],-1,0))+1</f>
        <v>10</v>
      </c>
      <c r="C24" s="31"/>
      <c r="D24" s="31"/>
      <c r="E24" s="31"/>
      <c r="F24" s="31"/>
      <c r="G24" s="31">
        <v>1</v>
      </c>
      <c r="H24" s="31"/>
      <c r="I24" s="31"/>
      <c r="J24">
        <f>Tabell1[[#This Row],[Verdi1]]*C$12+Tabell1[[#This Row],[Verdi2]]*D$12+Tabell1[[#This Row],[Verdi3]]*E$12+Tabell1[[#This Row],[Verdi4]]*F$12+Tabell1[[#This Row],[Verdi5]]*G$12+Tabell1[[#This Row],[Verdi6]]*H$12+Tabell1[[#This Row],[Verdi7]]*I$12</f>
        <v>1</v>
      </c>
      <c r="K24" s="32">
        <f>Tabell1[[#This Row],[Totalskår]]/K$12*100</f>
        <v>14.285714285714285</v>
      </c>
      <c r="L24" s="31"/>
    </row>
    <row r="25" spans="1:12" x14ac:dyDescent="0.35">
      <c r="A25">
        <f ca="1">IF(ISNUMBER(OFFSET(Tabell1[[#This Row],[Nr]],-1,0)),OFFSET(Tabell1[[#This Row],[Nr]],-1,0))+1</f>
        <v>11</v>
      </c>
      <c r="C25" s="31"/>
      <c r="D25" s="31"/>
      <c r="E25" s="31"/>
      <c r="F25" s="31">
        <v>1</v>
      </c>
      <c r="G25" s="31"/>
      <c r="H25" s="31"/>
      <c r="I25" s="31"/>
      <c r="J25">
        <f>Tabell1[[#This Row],[Verdi1]]*C$12+Tabell1[[#This Row],[Verdi2]]*D$12+Tabell1[[#This Row],[Verdi3]]*E$12+Tabell1[[#This Row],[Verdi4]]*F$12+Tabell1[[#This Row],[Verdi5]]*G$12+Tabell1[[#This Row],[Verdi6]]*H$12+Tabell1[[#This Row],[Verdi7]]*I$12</f>
        <v>1</v>
      </c>
      <c r="K25" s="32">
        <f>Tabell1[[#This Row],[Totalskår]]/K$12*100</f>
        <v>14.285714285714285</v>
      </c>
      <c r="L25" s="31"/>
    </row>
    <row r="26" spans="1:12" x14ac:dyDescent="0.35">
      <c r="A26">
        <f ca="1">IF(ISNUMBER(OFFSET(Tabell1[[#This Row],[Nr]],-1,0)),OFFSET(Tabell1[[#This Row],[Nr]],-1,0))+1</f>
        <v>12</v>
      </c>
      <c r="C26" s="31"/>
      <c r="D26" s="31"/>
      <c r="E26" s="31">
        <v>1</v>
      </c>
      <c r="F26" s="31"/>
      <c r="G26" s="31"/>
      <c r="H26" s="31"/>
      <c r="I26" s="31"/>
      <c r="J26">
        <f>Tabell1[[#This Row],[Verdi1]]*C$12+Tabell1[[#This Row],[Verdi2]]*D$12+Tabell1[[#This Row],[Verdi3]]*E$12+Tabell1[[#This Row],[Verdi4]]*F$12+Tabell1[[#This Row],[Verdi5]]*G$12+Tabell1[[#This Row],[Verdi6]]*H$12+Tabell1[[#This Row],[Verdi7]]*I$12</f>
        <v>1</v>
      </c>
      <c r="K26" s="32">
        <f>Tabell1[[#This Row],[Totalskår]]/K$12*100</f>
        <v>14.285714285714285</v>
      </c>
      <c r="L26" s="31"/>
    </row>
    <row r="27" spans="1:12" x14ac:dyDescent="0.35">
      <c r="A27">
        <f ca="1">IF(ISNUMBER(OFFSET(Tabell1[[#This Row],[Nr]],-1,0)),OFFSET(Tabell1[[#This Row],[Nr]],-1,0))+1</f>
        <v>13</v>
      </c>
      <c r="C27" s="31"/>
      <c r="D27" s="31">
        <v>1</v>
      </c>
      <c r="E27" s="31"/>
      <c r="F27" s="31"/>
      <c r="G27" s="31"/>
      <c r="H27" s="31"/>
      <c r="I27" s="31"/>
      <c r="J27">
        <f>Tabell1[[#This Row],[Verdi1]]*C$12+Tabell1[[#This Row],[Verdi2]]*D$12+Tabell1[[#This Row],[Verdi3]]*E$12+Tabell1[[#This Row],[Verdi4]]*F$12+Tabell1[[#This Row],[Verdi5]]*G$12+Tabell1[[#This Row],[Verdi6]]*H$12+Tabell1[[#This Row],[Verdi7]]*I$12</f>
        <v>1</v>
      </c>
      <c r="K27" s="32">
        <f>Tabell1[[#This Row],[Totalskår]]/K$12*100</f>
        <v>14.285714285714285</v>
      </c>
      <c r="L27" s="31"/>
    </row>
    <row r="28" spans="1:12" x14ac:dyDescent="0.35">
      <c r="A28">
        <f ca="1">IF(ISNUMBER(OFFSET(Tabell1[[#This Row],[Nr]],-1,0)),OFFSET(Tabell1[[#This Row],[Nr]],-1,0))+1</f>
        <v>14</v>
      </c>
      <c r="C28" s="31">
        <v>1</v>
      </c>
      <c r="D28" s="31"/>
      <c r="E28" s="31"/>
      <c r="F28" s="31"/>
      <c r="G28" s="31"/>
      <c r="H28" s="31"/>
      <c r="I28" s="31"/>
      <c r="J28">
        <f>Tabell1[[#This Row],[Verdi1]]*C$12+Tabell1[[#This Row],[Verdi2]]*D$12+Tabell1[[#This Row],[Verdi3]]*E$12+Tabell1[[#This Row],[Verdi4]]*F$12+Tabell1[[#This Row],[Verdi5]]*G$12+Tabell1[[#This Row],[Verdi6]]*H$12+Tabell1[[#This Row],[Verdi7]]*I$12</f>
        <v>1</v>
      </c>
      <c r="K28" s="32">
        <f>Tabell1[[#This Row],[Totalskår]]/K$12*100</f>
        <v>14.285714285714285</v>
      </c>
      <c r="L28" s="31"/>
    </row>
    <row r="29" spans="1:12" x14ac:dyDescent="0.35">
      <c r="A29">
        <f ca="1">IF(ISNUMBER(OFFSET(Tabell1[[#This Row],[Nr]],-1,0)),OFFSET(Tabell1[[#This Row],[Nr]],-1,0))+1</f>
        <v>15</v>
      </c>
      <c r="C29" s="31"/>
      <c r="D29" s="31"/>
      <c r="E29" s="31"/>
      <c r="F29" s="31"/>
      <c r="G29" s="31"/>
      <c r="H29" s="31">
        <v>1</v>
      </c>
      <c r="I29" s="31"/>
      <c r="J29">
        <f>Tabell1[[#This Row],[Verdi1]]*C$12+Tabell1[[#This Row],[Verdi2]]*D$12+Tabell1[[#This Row],[Verdi3]]*E$12+Tabell1[[#This Row],[Verdi4]]*F$12+Tabell1[[#This Row],[Verdi5]]*G$12+Tabell1[[#This Row],[Verdi6]]*H$12+Tabell1[[#This Row],[Verdi7]]*I$12</f>
        <v>1</v>
      </c>
      <c r="K29" s="32">
        <f>Tabell1[[#This Row],[Totalskår]]/K$12*100</f>
        <v>14.285714285714285</v>
      </c>
      <c r="L29" s="31"/>
    </row>
    <row r="30" spans="1:12" x14ac:dyDescent="0.35">
      <c r="A30">
        <f ca="1">IF(ISNUMBER(OFFSET(Tabell1[[#This Row],[Nr]],-1,0)),OFFSET(Tabell1[[#This Row],[Nr]],-1,0))+1</f>
        <v>16</v>
      </c>
      <c r="C30" s="31"/>
      <c r="D30" s="31"/>
      <c r="E30" s="31"/>
      <c r="F30" s="31"/>
      <c r="G30" s="31">
        <v>1</v>
      </c>
      <c r="H30" s="31"/>
      <c r="I30" s="31"/>
      <c r="J30">
        <f>Tabell1[[#This Row],[Verdi1]]*C$12+Tabell1[[#This Row],[Verdi2]]*D$12+Tabell1[[#This Row],[Verdi3]]*E$12+Tabell1[[#This Row],[Verdi4]]*F$12+Tabell1[[#This Row],[Verdi5]]*G$12+Tabell1[[#This Row],[Verdi6]]*H$12+Tabell1[[#This Row],[Verdi7]]*I$12</f>
        <v>1</v>
      </c>
      <c r="K30" s="32">
        <f>Tabell1[[#This Row],[Totalskår]]/K$12*100</f>
        <v>14.285714285714285</v>
      </c>
      <c r="L30" s="31"/>
    </row>
    <row r="31" spans="1:12" x14ac:dyDescent="0.35">
      <c r="A31">
        <f ca="1">IF(ISNUMBER(OFFSET(Tabell1[[#This Row],[Nr]],-1,0)),OFFSET(Tabell1[[#This Row],[Nr]],-1,0))+1</f>
        <v>17</v>
      </c>
      <c r="C31" s="31"/>
      <c r="D31" s="31"/>
      <c r="E31" s="31"/>
      <c r="F31" s="31">
        <v>1</v>
      </c>
      <c r="G31" s="31"/>
      <c r="H31" s="31"/>
      <c r="I31" s="31"/>
      <c r="J31">
        <f>Tabell1[[#This Row],[Verdi1]]*C$12+Tabell1[[#This Row],[Verdi2]]*D$12+Tabell1[[#This Row],[Verdi3]]*E$12+Tabell1[[#This Row],[Verdi4]]*F$12+Tabell1[[#This Row],[Verdi5]]*G$12+Tabell1[[#This Row],[Verdi6]]*H$12+Tabell1[[#This Row],[Verdi7]]*I$12</f>
        <v>1</v>
      </c>
      <c r="K31" s="32">
        <f>Tabell1[[#This Row],[Totalskår]]/K$12*100</f>
        <v>14.285714285714285</v>
      </c>
      <c r="L31" s="31"/>
    </row>
    <row r="32" spans="1:12" x14ac:dyDescent="0.35">
      <c r="A32">
        <f ca="1">IF(ISNUMBER(OFFSET(Tabell1[[#This Row],[Nr]],-1,0)),OFFSET(Tabell1[[#This Row],[Nr]],-1,0))+1</f>
        <v>18</v>
      </c>
      <c r="C32" s="31"/>
      <c r="D32" s="31"/>
      <c r="E32" s="31">
        <v>1</v>
      </c>
      <c r="F32" s="31"/>
      <c r="G32" s="31"/>
      <c r="H32" s="31"/>
      <c r="I32" s="31"/>
      <c r="J32">
        <f>Tabell1[[#This Row],[Verdi1]]*C$12+Tabell1[[#This Row],[Verdi2]]*D$12+Tabell1[[#This Row],[Verdi3]]*E$12+Tabell1[[#This Row],[Verdi4]]*F$12+Tabell1[[#This Row],[Verdi5]]*G$12+Tabell1[[#This Row],[Verdi6]]*H$12+Tabell1[[#This Row],[Verdi7]]*I$12</f>
        <v>1</v>
      </c>
      <c r="K32" s="32">
        <f>Tabell1[[#This Row],[Totalskår]]/K$12*100</f>
        <v>14.285714285714285</v>
      </c>
      <c r="L32" s="31"/>
    </row>
    <row r="33" spans="1:12" x14ac:dyDescent="0.35">
      <c r="A33">
        <f ca="1">IF(ISNUMBER(OFFSET(Tabell1[[#This Row],[Nr]],-1,0)),OFFSET(Tabell1[[#This Row],[Nr]],-1,0))+1</f>
        <v>19</v>
      </c>
      <c r="C33" s="31">
        <v>1</v>
      </c>
      <c r="D33" s="31"/>
      <c r="E33" s="31"/>
      <c r="F33" s="31"/>
      <c r="G33" s="31"/>
      <c r="H33" s="31"/>
      <c r="I33" s="31"/>
      <c r="J33">
        <f>Tabell1[[#This Row],[Verdi1]]*C$12+Tabell1[[#This Row],[Verdi2]]*D$12+Tabell1[[#This Row],[Verdi3]]*E$12+Tabell1[[#This Row],[Verdi4]]*F$12+Tabell1[[#This Row],[Verdi5]]*G$12+Tabell1[[#This Row],[Verdi6]]*H$12+Tabell1[[#This Row],[Verdi7]]*I$12</f>
        <v>1</v>
      </c>
      <c r="K33" s="32">
        <f>Tabell1[[#This Row],[Totalskår]]/K$12*100</f>
        <v>14.285714285714285</v>
      </c>
      <c r="L33" s="31"/>
    </row>
    <row r="34" spans="1:12" x14ac:dyDescent="0.35">
      <c r="A34">
        <f ca="1">IF(ISNUMBER(OFFSET(Tabell1[[#This Row],[Nr]],-1,0)),OFFSET(Tabell1[[#This Row],[Nr]],-1,0))+1</f>
        <v>20</v>
      </c>
      <c r="C34" s="31"/>
      <c r="D34" s="31">
        <v>1</v>
      </c>
      <c r="E34" s="31">
        <v>1</v>
      </c>
      <c r="F34" s="31">
        <v>1</v>
      </c>
      <c r="G34" s="31">
        <v>1</v>
      </c>
      <c r="H34" s="31"/>
      <c r="I34" s="31"/>
      <c r="J34">
        <f>Tabell1[[#This Row],[Verdi1]]*C$12+Tabell1[[#This Row],[Verdi2]]*D$12+Tabell1[[#This Row],[Verdi3]]*E$12+Tabell1[[#This Row],[Verdi4]]*F$12+Tabell1[[#This Row],[Verdi5]]*G$12+Tabell1[[#This Row],[Verdi6]]*H$12+Tabell1[[#This Row],[Verdi7]]*I$12</f>
        <v>4</v>
      </c>
      <c r="K34" s="32">
        <f>Tabell1[[#This Row],[Totalskår]]/K$12*100</f>
        <v>57.142857142857139</v>
      </c>
      <c r="L34" s="31"/>
    </row>
    <row r="35" spans="1:12" x14ac:dyDescent="0.35">
      <c r="A35">
        <f ca="1">IF(ISNUMBER(OFFSET(Tabell1[[#This Row],[Nr]],-1,0)),OFFSET(Tabell1[[#This Row],[Nr]],-1,0))+1</f>
        <v>21</v>
      </c>
      <c r="C35" s="31">
        <v>1</v>
      </c>
      <c r="D35" s="31"/>
      <c r="E35" s="31"/>
      <c r="F35" s="31"/>
      <c r="G35" s="31"/>
      <c r="H35" s="31"/>
      <c r="I35" s="31"/>
      <c r="J35">
        <f>Tabell1[[#This Row],[Verdi1]]*C$12+Tabell1[[#This Row],[Verdi2]]*D$12+Tabell1[[#This Row],[Verdi3]]*E$12+Tabell1[[#This Row],[Verdi4]]*F$12+Tabell1[[#This Row],[Verdi5]]*G$12+Tabell1[[#This Row],[Verdi6]]*H$12+Tabell1[[#This Row],[Verdi7]]*I$12</f>
        <v>1</v>
      </c>
      <c r="K35" s="32">
        <f>Tabell1[[#This Row],[Totalskår]]/K$12*100</f>
        <v>14.285714285714285</v>
      </c>
      <c r="L35" s="31"/>
    </row>
  </sheetData>
  <conditionalFormatting sqref="J15:J35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{7A76901D-922B-426A-BD6D-AA77D650B80F}</x14:id>
        </ext>
      </extLst>
    </cfRule>
  </conditionalFormatting>
  <conditionalFormatting sqref="K15:K35">
    <cfRule type="dataBar" priority="1">
      <dataBar>
        <cfvo type="num" val="0"/>
        <cfvo type="num" val="100"/>
        <color rgb="FF008AEF"/>
      </dataBar>
      <extLst>
        <ext xmlns:x14="http://schemas.microsoft.com/office/spreadsheetml/2009/9/main" uri="{B025F937-C7B1-47D3-B67F-A62EFF666E3E}">
          <x14:id>{891A89DB-9707-4850-9E03-738C8A8EAEE9}</x14:id>
        </ext>
      </extLst>
    </cfRule>
  </conditionalFormatting>
  <pageMargins left="0.7" right="0.7" top="0.75" bottom="0.75" header="0.3" footer="0.3"/>
  <pageSetup paperSize="9" scale="62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44C9E1E3-AD9D-4450-BBFC-29E7F88877F0}">
            <x14:iconSet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5Quarters" iconId="0"/>
              <x14:cfIcon iconSet="3TrafficLights1" iconId="1"/>
              <x14:cfIcon iconSet="3TrafficLights1" iconId="2"/>
            </x14:iconSet>
          </x14:cfRule>
          <xm:sqref>C15:I35</xm:sqref>
        </x14:conditionalFormatting>
        <x14:conditionalFormatting xmlns:xm="http://schemas.microsoft.com/office/excel/2006/main">
          <x14:cfRule type="dataBar" id="{7A76901D-922B-426A-BD6D-AA77D650B80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J15:J35</xm:sqref>
        </x14:conditionalFormatting>
        <x14:conditionalFormatting xmlns:xm="http://schemas.microsoft.com/office/excel/2006/main">
          <x14:cfRule type="dataBar" id="{891A89DB-9707-4850-9E03-738C8A8EAEE9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K15:K35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B10"/>
  <sheetViews>
    <sheetView zoomScaleNormal="100" workbookViewId="0">
      <selection activeCell="C5" sqref="C5"/>
    </sheetView>
  </sheetViews>
  <sheetFormatPr baseColWidth="10" defaultColWidth="11.453125" defaultRowHeight="14.5" x14ac:dyDescent="0.35"/>
  <sheetData>
    <row r="3" spans="1:2" x14ac:dyDescent="0.35">
      <c r="A3" t="s">
        <v>114</v>
      </c>
      <c r="B3" s="35" t="s">
        <v>115</v>
      </c>
    </row>
    <row r="4" spans="1:2" x14ac:dyDescent="0.35">
      <c r="A4" t="str">
        <f>Tabell1[[#Headers],[Verdi1]]</f>
        <v>Verdi1</v>
      </c>
      <c r="B4">
        <f>SUM(Tabell1[Verdi1])*Skåring!C$12</f>
        <v>5</v>
      </c>
    </row>
    <row r="5" spans="1:2" x14ac:dyDescent="0.35">
      <c r="A5" t="str">
        <f>Tabell1[[#Headers],[Verdi2]]</f>
        <v>Verdi2</v>
      </c>
      <c r="B5">
        <f>SUM(Tabell1[Verdi2])*Skåring!D$12</f>
        <v>3</v>
      </c>
    </row>
    <row r="6" spans="1:2" x14ac:dyDescent="0.35">
      <c r="A6" t="str">
        <f>Tabell1[[#Headers],[Verdi3]]</f>
        <v>Verdi3</v>
      </c>
      <c r="B6">
        <f>SUM(Tabell1[Verdi3])*Skåring!E$12</f>
        <v>6</v>
      </c>
    </row>
    <row r="7" spans="1:2" x14ac:dyDescent="0.35">
      <c r="A7" t="str">
        <f>Tabell1[[#Headers],[Verdi4]]</f>
        <v>Verdi4</v>
      </c>
      <c r="B7">
        <f>SUM(Tabell1[Verdi4])*Skåring!F$12</f>
        <v>8</v>
      </c>
    </row>
    <row r="8" spans="1:2" x14ac:dyDescent="0.35">
      <c r="A8" t="str">
        <f>Tabell1[[#Headers],[Verdi5]]</f>
        <v>Verdi5</v>
      </c>
      <c r="B8">
        <f>SUM(Tabell1[Verdi5])*Skåring!G$12</f>
        <v>5</v>
      </c>
    </row>
    <row r="9" spans="1:2" x14ac:dyDescent="0.35">
      <c r="A9" t="str">
        <f>Tabell1[[#Headers],[Verdi6]]</f>
        <v>Verdi6</v>
      </c>
      <c r="B9">
        <f>SUM(Tabell1[Verdi6])*Skåring!H$12</f>
        <v>1</v>
      </c>
    </row>
    <row r="10" spans="1:2" x14ac:dyDescent="0.35">
      <c r="A10" t="str">
        <f>Tabell1[[#Headers],[Verdi7]]</f>
        <v>Verdi7</v>
      </c>
      <c r="B10">
        <f>SUM(Tabell1[Verdi7])*Skåring!I$12</f>
        <v>0</v>
      </c>
    </row>
  </sheetData>
  <pageMargins left="0.7" right="0.7" top="0.75" bottom="0.75" header="0.3" footer="0.3"/>
  <pageSetup paperSize="9" scale="84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B10"/>
  <sheetViews>
    <sheetView zoomScaleNormal="100" workbookViewId="0">
      <selection activeCell="C21" sqref="C21"/>
    </sheetView>
  </sheetViews>
  <sheetFormatPr baseColWidth="10" defaultColWidth="11.453125" defaultRowHeight="14.5" x14ac:dyDescent="0.35"/>
  <sheetData>
    <row r="3" spans="1:2" x14ac:dyDescent="0.35">
      <c r="A3" t="s">
        <v>114</v>
      </c>
      <c r="B3" s="35" t="s">
        <v>115</v>
      </c>
    </row>
    <row r="4" spans="1:2" x14ac:dyDescent="0.35">
      <c r="A4" t="str">
        <f>Tabell1[[#Headers],[Verdi1]]</f>
        <v>Verdi1</v>
      </c>
      <c r="B4">
        <f>(ROWS(Tabell1[])-SUM(Tabell1[Verdi1]))*Skåring!C$12</f>
        <v>16</v>
      </c>
    </row>
    <row r="5" spans="1:2" x14ac:dyDescent="0.35">
      <c r="A5" t="str">
        <f>Tabell1[[#Headers],[Verdi2]]</f>
        <v>Verdi2</v>
      </c>
      <c r="B5">
        <f>(ROWS(Tabell1[])-SUM(Tabell1[Verdi2]))*Skåring!D$12</f>
        <v>18</v>
      </c>
    </row>
    <row r="6" spans="1:2" x14ac:dyDescent="0.35">
      <c r="A6" t="str">
        <f>Tabell1[[#Headers],[Verdi3]]</f>
        <v>Verdi3</v>
      </c>
      <c r="B6">
        <f>(ROWS(Tabell1[])-SUM(Tabell1[Verdi3]))*Skåring!E$12</f>
        <v>15</v>
      </c>
    </row>
    <row r="7" spans="1:2" x14ac:dyDescent="0.35">
      <c r="A7" t="str">
        <f>Tabell1[[#Headers],[Verdi4]]</f>
        <v>Verdi4</v>
      </c>
      <c r="B7">
        <f>(ROWS(Tabell1[])-SUM(Tabell1[Verdi4]))*Skåring!F$12</f>
        <v>13</v>
      </c>
    </row>
    <row r="8" spans="1:2" x14ac:dyDescent="0.35">
      <c r="A8" t="str">
        <f>Tabell1[[#Headers],[Verdi5]]</f>
        <v>Verdi5</v>
      </c>
      <c r="B8">
        <f>(ROWS(Tabell1[])-SUM(Tabell1[Verdi5]))*Skåring!G$12</f>
        <v>16</v>
      </c>
    </row>
    <row r="9" spans="1:2" x14ac:dyDescent="0.35">
      <c r="A9" t="str">
        <f>Tabell1[[#Headers],[Verdi6]]</f>
        <v>Verdi6</v>
      </c>
      <c r="B9">
        <f>(ROWS(Tabell1[])-SUM(Tabell1[Verdi6]))*Skåring!H$12</f>
        <v>20</v>
      </c>
    </row>
    <row r="10" spans="1:2" x14ac:dyDescent="0.35">
      <c r="A10" t="str">
        <f>Tabell1[[#Headers],[Verdi7]]</f>
        <v>Verdi7</v>
      </c>
      <c r="B10">
        <f>(ROWS(Tabell1[])-SUM(Tabell1[Verdi7]))*Skåring!I$12</f>
        <v>21</v>
      </c>
    </row>
  </sheetData>
  <pageMargins left="0.7" right="0.7" top="0.75" bottom="0.75" header="0.3" footer="0.3"/>
  <pageSetup paperSize="9" scale="84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2"/>
  <sheetViews>
    <sheetView workbookViewId="0">
      <selection activeCell="B12" sqref="B12"/>
    </sheetView>
  </sheetViews>
  <sheetFormatPr baseColWidth="10" defaultColWidth="11.453125" defaultRowHeight="14.5" x14ac:dyDescent="0.35"/>
  <sheetData>
    <row r="1" spans="1:2" ht="23.5" x14ac:dyDescent="0.55000000000000004">
      <c r="A1" s="1" t="s">
        <v>116</v>
      </c>
    </row>
    <row r="2" spans="1:2" x14ac:dyDescent="0.35">
      <c r="A2" s="4">
        <v>44939</v>
      </c>
      <c r="B2" t="s">
        <v>117</v>
      </c>
    </row>
    <row r="3" spans="1:2" x14ac:dyDescent="0.35">
      <c r="A3" s="4">
        <v>44977</v>
      </c>
      <c r="B3" t="s">
        <v>118</v>
      </c>
    </row>
    <row r="4" spans="1:2" x14ac:dyDescent="0.35">
      <c r="A4" s="4">
        <v>45029</v>
      </c>
      <c r="B4" t="s">
        <v>119</v>
      </c>
    </row>
    <row r="5" spans="1:2" x14ac:dyDescent="0.35">
      <c r="A5" s="4">
        <v>45030</v>
      </c>
      <c r="B5" t="s">
        <v>120</v>
      </c>
    </row>
    <row r="6" spans="1:2" x14ac:dyDescent="0.35">
      <c r="A6" s="4">
        <v>45141</v>
      </c>
      <c r="B6" t="s">
        <v>121</v>
      </c>
    </row>
    <row r="7" spans="1:2" x14ac:dyDescent="0.35">
      <c r="A7" s="4">
        <v>45345</v>
      </c>
      <c r="B7" t="s">
        <v>122</v>
      </c>
    </row>
    <row r="8" spans="1:2" x14ac:dyDescent="0.35">
      <c r="A8" s="4">
        <v>45345</v>
      </c>
      <c r="B8" t="s">
        <v>123</v>
      </c>
    </row>
    <row r="9" spans="1:2" x14ac:dyDescent="0.35">
      <c r="A9" s="4">
        <v>45345</v>
      </c>
      <c r="B9" t="s">
        <v>124</v>
      </c>
    </row>
    <row r="10" spans="1:2" x14ac:dyDescent="0.35">
      <c r="A10" s="4">
        <v>45476</v>
      </c>
      <c r="B10" t="s">
        <v>125</v>
      </c>
    </row>
    <row r="11" spans="1:2" x14ac:dyDescent="0.35">
      <c r="A11" s="4">
        <v>45476</v>
      </c>
      <c r="B11" t="s">
        <v>126</v>
      </c>
    </row>
    <row r="12" spans="1:2" x14ac:dyDescent="0.35">
      <c r="A12" s="4">
        <v>45582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cc8c0b8-36bb-4877-9579-e432d427316a">
      <Terms xmlns="http://schemas.microsoft.com/office/infopath/2007/PartnerControls"/>
    </lcf76f155ced4ddcb4097134ff3c332f>
    <TaxCatchAll xmlns="1bfe2035-de25-4a70-bbac-e87eca0bdd5d" xsi:nil="true"/>
    <Rekkef_x00f8_lge xmlns="3cc8c0b8-36bb-4877-9579-e432d427316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D8A6AFE100AC04893A8398053EC507E" ma:contentTypeVersion="19" ma:contentTypeDescription="Opprett et nytt dokument." ma:contentTypeScope="" ma:versionID="8008b3d70b415fe8655af6e2539ecdbc">
  <xsd:schema xmlns:xsd="http://www.w3.org/2001/XMLSchema" xmlns:xs="http://www.w3.org/2001/XMLSchema" xmlns:p="http://schemas.microsoft.com/office/2006/metadata/properties" xmlns:ns2="3cc8c0b8-36bb-4877-9579-e432d427316a" xmlns:ns3="1bfe2035-de25-4a70-bbac-e87eca0bdd5d" targetNamespace="http://schemas.microsoft.com/office/2006/metadata/properties" ma:root="true" ma:fieldsID="7a7dbd955ab8d4d3ecec6db39bf5fd80" ns2:_="" ns3:_="">
    <xsd:import namespace="3cc8c0b8-36bb-4877-9579-e432d427316a"/>
    <xsd:import namespace="1bfe2035-de25-4a70-bbac-e87eca0bdd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Rekkef_x00f8_lg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c8c0b8-36bb-4877-9579-e432d42731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Rekkef_x00f8_lge" ma:index="18" nillable="true" ma:displayName="Rekkefølge" ma:format="Dropdown" ma:internalName="Rekkef_x00f8_lge" ma:percentage="FALSE">
      <xsd:simpleType>
        <xsd:restriction base="dms:Number"/>
      </xsd:simpleType>
    </xsd:element>
    <xsd:element name="lcf76f155ced4ddcb4097134ff3c332f" ma:index="20" nillable="true" ma:taxonomy="true" ma:internalName="lcf76f155ced4ddcb4097134ff3c332f" ma:taxonomyFieldName="MediaServiceImageTags" ma:displayName="Bildemerkelapper" ma:readOnly="false" ma:fieldId="{5cf76f15-5ced-4ddc-b409-7134ff3c332f}" ma:taxonomyMulti="true" ma:sspId="bbe3d436-fbfd-41cc-af34-671200448d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fe2035-de25-4a70-bbac-e87eca0bdd5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b18faba-198c-4176-98f5-d546fa374a9a}" ma:internalName="TaxCatchAll" ma:showField="CatchAllData" ma:web="1bfe2035-de25-4a70-bbac-e87eca0bdd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37790C-076A-4E31-8594-E0DA29F3A040}">
  <ds:schemaRefs>
    <ds:schemaRef ds:uri="http://purl.org/dc/elements/1.1/"/>
    <ds:schemaRef ds:uri="http://schemas.microsoft.com/office/2006/documentManagement/types"/>
    <ds:schemaRef ds:uri="http://purl.org/dc/dcmitype/"/>
    <ds:schemaRef ds:uri="8f3d7daa-3ab8-4ac7-96d2-54ecedd3d276"/>
    <ds:schemaRef ds:uri="ea908836-1511-4c2c-a266-c1685eeb16ee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terms/"/>
    <ds:schemaRef ds:uri="3cc8c0b8-36bb-4877-9579-e432d427316a"/>
    <ds:schemaRef ds:uri="1bfe2035-de25-4a70-bbac-e87eca0bdd5d"/>
  </ds:schemaRefs>
</ds:datastoreItem>
</file>

<file path=customXml/itemProps2.xml><?xml version="1.0" encoding="utf-8"?>
<ds:datastoreItem xmlns:ds="http://schemas.openxmlformats.org/officeDocument/2006/customXml" ds:itemID="{5F29C3DB-EF5C-4C85-93E3-06D3348547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c8c0b8-36bb-4877-9579-e432d427316a"/>
    <ds:schemaRef ds:uri="1bfe2035-de25-4a70-bbac-e87eca0bdd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5F566E0-946E-4095-8C2F-DBD41632854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5b906c1f-19d2-4ac1-bea8-1ddf524e35b3}" enabled="1" method="Standard" siteId="{7f8e4cf0-71fb-489c-a336-3f9252a6390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Navngitte områder</vt:lpstr>
      </vt:variant>
      <vt:variant>
        <vt:i4>1</vt:i4>
      </vt:variant>
    </vt:vector>
  </HeadingPairs>
  <TitlesOfParts>
    <vt:vector size="6" baseType="lpstr">
      <vt:lpstr>SPC</vt:lpstr>
      <vt:lpstr>Skåring</vt:lpstr>
      <vt:lpstr>Pareto</vt:lpstr>
      <vt:lpstr>Pareto-negativ</vt:lpstr>
      <vt:lpstr>Info</vt:lpstr>
      <vt:lpstr>SPC!Utskriftsområde</vt:lpstr>
    </vt:vector>
  </TitlesOfParts>
  <Manager/>
  <Company>Helse Sør-Øst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Pål Jostein Didriksen</dc:creator>
  <cp:keywords/>
  <dc:description/>
  <cp:lastModifiedBy>Åse Stavland Lexberg</cp:lastModifiedBy>
  <cp:revision/>
  <dcterms:created xsi:type="dcterms:W3CDTF">2022-10-25T06:39:51Z</dcterms:created>
  <dcterms:modified xsi:type="dcterms:W3CDTF">2025-03-19T11:43:49Z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0x0101004D8A6AFE100AC04893A8398053EC507E</vt:lpwstr>
  </property>
  <property fmtid="{D5CDD505-2E9C-101B-9397-08002B2CF9AE}" pid="3" name="MediaServiceImageTags">
    <vt:lpwstr/>
  </property>
</Properties>
</file>